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Para portal de transparencia\"/>
    </mc:Choice>
  </mc:AlternateContent>
  <bookViews>
    <workbookView xWindow="0" yWindow="0" windowWidth="19200" windowHeight="10695" firstSheet="7" activeTab="7"/>
  </bookViews>
  <sheets>
    <sheet name="Matriz OE seguimiento TI" sheetId="7" state="hidden" r:id="rId1"/>
    <sheet name="Matriz OE seguimiento TII" sheetId="8" state="hidden" r:id="rId2"/>
    <sheet name="Matriz OE seguimiento jul.y ago" sheetId="9" state="hidden" r:id="rId3"/>
    <sheet name="Matriz OE segmto julyag " sheetId="11" state="hidden" r:id="rId4"/>
    <sheet name="Matriz OE segto sept.-dic.impre" sheetId="14" state="hidden" r:id="rId5"/>
    <sheet name="Matriz OE segmto sept.-dic (2)" sheetId="15" state="hidden" r:id="rId6"/>
    <sheet name="OE segmto enero-abri impresion" sheetId="17" state="hidden" r:id="rId7"/>
    <sheet name="Resultados mayo-jun19" sheetId="20" r:id="rId8"/>
    <sheet name="promedio trimestre sept.dic" sheetId="5" state="hidden" r:id="rId9"/>
    <sheet name="Hoja1" sheetId="16" r:id="rId10"/>
  </sheets>
  <definedNames>
    <definedName name="_xlnm._FilterDatabase" localSheetId="3" hidden="1">'Matriz OE segmto julyag '!$G$7:$L$68</definedName>
    <definedName name="_xlnm._FilterDatabase" localSheetId="5" hidden="1">'Matriz OE segmto sept.-dic (2)'!$G$7:$L$70</definedName>
    <definedName name="_xlnm._FilterDatabase" localSheetId="4" hidden="1">'Matriz OE segto sept.-dic.impre'!$G$7:$L$70</definedName>
    <definedName name="_xlnm._FilterDatabase" localSheetId="2" hidden="1">'Matriz OE seguimiento jul.y ago'!$G$7:$L$68</definedName>
    <definedName name="_xlnm._FilterDatabase" localSheetId="0" hidden="1">'Matriz OE seguimiento TI'!$G$7:$L$67</definedName>
    <definedName name="_xlnm._FilterDatabase" localSheetId="1" hidden="1">'Matriz OE seguimiento TII'!$G$7:$L$67</definedName>
    <definedName name="_xlnm._FilterDatabase" localSheetId="6" hidden="1">'OE segmto enero-abri impresion'!$G$7:$L$64</definedName>
    <definedName name="_xlnm._FilterDatabase" localSheetId="7" hidden="1">'Resultados mayo-jun19'!$E$7:$G$64</definedName>
    <definedName name="_xlnm.Print_Area" localSheetId="3">'Matriz OE segmto julyag '!$A$1:$AB$70</definedName>
    <definedName name="_xlnm.Print_Area" localSheetId="5">'Matriz OE segmto sept.-dic (2)'!$A$1:$AB$76</definedName>
    <definedName name="_xlnm.Print_Area" localSheetId="4">'Matriz OE segto sept.-dic.impre'!$A$1:$AB$76</definedName>
    <definedName name="_xlnm.Print_Area" localSheetId="2">'Matriz OE seguimiento jul.y ago'!$A$1:$AC$74</definedName>
    <definedName name="_xlnm.Print_Area" localSheetId="0">'Matriz OE seguimiento TI'!$A$1:$AB$71</definedName>
    <definedName name="_xlnm.Print_Area" localSheetId="1">'Matriz OE seguimiento TII'!$A$1:$AB$73</definedName>
    <definedName name="_xlnm.Print_Area" localSheetId="6">'OE segmto enero-abri impresion'!$A$1:$AB$68</definedName>
    <definedName name="_xlnm.Print_Area" localSheetId="7">'Resultados mayo-jun19'!$A$1:$S$79</definedName>
    <definedName name="_xlnm.Print_Titles" localSheetId="3">'Matriz OE segmto julyag '!$2:$8</definedName>
    <definedName name="_xlnm.Print_Titles" localSheetId="5">'Matriz OE segmto sept.-dic (2)'!$2:$8</definedName>
    <definedName name="_xlnm.Print_Titles" localSheetId="4">'Matriz OE segto sept.-dic.impre'!$2:$8</definedName>
    <definedName name="_xlnm.Print_Titles" localSheetId="2">'Matriz OE seguimiento jul.y ago'!$2:$8</definedName>
    <definedName name="_xlnm.Print_Titles" localSheetId="0">'Matriz OE seguimiento TI'!$2:$8</definedName>
    <definedName name="_xlnm.Print_Titles" localSheetId="1">'Matriz OE seguimiento TII'!$2:$8</definedName>
    <definedName name="_xlnm.Print_Titles" localSheetId="6">'OE segmto enero-abri impresion'!$2:$8</definedName>
    <definedName name="_xlnm.Print_Titles" localSheetId="7">'Resultados mayo-jun19'!$2:$8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66" i="20" l="1"/>
  <c r="O62" i="20"/>
  <c r="O61" i="20"/>
  <c r="O60" i="20"/>
  <c r="R58" i="20"/>
  <c r="O58" i="20"/>
  <c r="O57" i="20"/>
  <c r="O56" i="20"/>
  <c r="R55" i="20"/>
  <c r="R54" i="20"/>
  <c r="O54" i="20"/>
  <c r="O52" i="20"/>
  <c r="O50" i="20"/>
  <c r="O48" i="20"/>
  <c r="R47" i="20"/>
  <c r="O47" i="20"/>
  <c r="R46" i="20"/>
  <c r="O46" i="20"/>
  <c r="O45" i="20"/>
  <c r="O41" i="20"/>
  <c r="O35" i="20"/>
  <c r="O34" i="20"/>
  <c r="O33" i="20"/>
  <c r="O29" i="20"/>
  <c r="O28" i="20"/>
  <c r="R27" i="20"/>
  <c r="O27" i="20"/>
  <c r="R26" i="20"/>
  <c r="O26" i="20"/>
  <c r="O24" i="20"/>
  <c r="O23" i="20"/>
  <c r="O10" i="20"/>
  <c r="N9" i="20"/>
  <c r="R9" i="20" s="1"/>
  <c r="O9" i="20" l="1"/>
  <c r="R12" i="20"/>
  <c r="R24" i="20"/>
  <c r="R29" i="20"/>
  <c r="R33" i="20"/>
  <c r="R35" i="20"/>
  <c r="R43" i="20"/>
  <c r="R45" i="20"/>
  <c r="R50" i="20"/>
  <c r="R52" i="20"/>
  <c r="R57" i="20"/>
  <c r="R61" i="20"/>
  <c r="R10" i="20"/>
  <c r="R23" i="20"/>
  <c r="R28" i="20"/>
  <c r="R34" i="20"/>
  <c r="R41" i="20"/>
  <c r="R48" i="20"/>
  <c r="R51" i="20"/>
  <c r="R56" i="20"/>
  <c r="R60" i="20"/>
  <c r="R62" i="20"/>
  <c r="Y32" i="17" l="1"/>
  <c r="Y31" i="17"/>
  <c r="V32" i="17"/>
  <c r="V31" i="17"/>
  <c r="X66" i="17" l="1"/>
  <c r="W66" i="17"/>
  <c r="Y64" i="17"/>
  <c r="X64" i="17"/>
  <c r="V64" i="17"/>
  <c r="X62" i="17"/>
  <c r="Y62" i="17" s="1"/>
  <c r="W62" i="17"/>
  <c r="V62" i="17"/>
  <c r="X61" i="17"/>
  <c r="Y61" i="17" s="1"/>
  <c r="W61" i="17"/>
  <c r="V61" i="17"/>
  <c r="X60" i="17"/>
  <c r="Y60" i="17" s="1"/>
  <c r="W60" i="17"/>
  <c r="V60" i="17"/>
  <c r="X58" i="17"/>
  <c r="Y58" i="17" s="1"/>
  <c r="W58" i="17"/>
  <c r="V58" i="17"/>
  <c r="X57" i="17"/>
  <c r="Y57" i="17" s="1"/>
  <c r="W57" i="17"/>
  <c r="V57" i="17"/>
  <c r="X56" i="17"/>
  <c r="Y56" i="17" s="1"/>
  <c r="W56" i="17"/>
  <c r="V56" i="17"/>
  <c r="X55" i="17"/>
  <c r="Y55" i="17" s="1"/>
  <c r="W55" i="17"/>
  <c r="V55" i="17"/>
  <c r="X54" i="17"/>
  <c r="W54" i="17"/>
  <c r="Y54" i="17" s="1"/>
  <c r="V54" i="17"/>
  <c r="X53" i="17"/>
  <c r="Y53" i="17" s="1"/>
  <c r="W53" i="17"/>
  <c r="V53" i="17"/>
  <c r="X52" i="17"/>
  <c r="Y52" i="17" s="1"/>
  <c r="W52" i="17"/>
  <c r="V52" i="17"/>
  <c r="X51" i="17"/>
  <c r="Y51" i="17" s="1"/>
  <c r="W51" i="17"/>
  <c r="V51" i="17"/>
  <c r="X50" i="17"/>
  <c r="Y50" i="17" s="1"/>
  <c r="W50" i="17"/>
  <c r="V50" i="17"/>
  <c r="X49" i="17"/>
  <c r="X48" i="17"/>
  <c r="W48" i="17"/>
  <c r="Y48" i="17" s="1"/>
  <c r="V48" i="17"/>
  <c r="X47" i="17"/>
  <c r="W47" i="17"/>
  <c r="Y47" i="17" s="1"/>
  <c r="V47" i="17"/>
  <c r="X46" i="17"/>
  <c r="W46" i="17"/>
  <c r="Y46" i="17" s="1"/>
  <c r="V46" i="17"/>
  <c r="X45" i="17"/>
  <c r="W45" i="17"/>
  <c r="Y45" i="17" s="1"/>
  <c r="V45" i="17"/>
  <c r="X44" i="17"/>
  <c r="W44" i="17"/>
  <c r="Y44" i="17" s="1"/>
  <c r="V44" i="17"/>
  <c r="X43" i="17"/>
  <c r="W43" i="17"/>
  <c r="Y43" i="17" s="1"/>
  <c r="X42" i="17"/>
  <c r="W42" i="17"/>
  <c r="V42" i="17"/>
  <c r="X41" i="17"/>
  <c r="W41" i="17"/>
  <c r="Y41" i="17" s="1"/>
  <c r="V41" i="17"/>
  <c r="X38" i="17"/>
  <c r="W38" i="17"/>
  <c r="Y38" i="17" s="1"/>
  <c r="V38" i="17"/>
  <c r="X37" i="17"/>
  <c r="W37" i="17"/>
  <c r="Y37" i="17" s="1"/>
  <c r="V37" i="17"/>
  <c r="X35" i="17"/>
  <c r="W35" i="17"/>
  <c r="Y35" i="17" s="1"/>
  <c r="V35" i="17"/>
  <c r="X34" i="17"/>
  <c r="W34" i="17"/>
  <c r="Y34" i="17" s="1"/>
  <c r="V34" i="17"/>
  <c r="X33" i="17"/>
  <c r="W33" i="17"/>
  <c r="Y33" i="17" s="1"/>
  <c r="X32" i="17"/>
  <c r="W32" i="17"/>
  <c r="X31" i="17"/>
  <c r="W31" i="17"/>
  <c r="X30" i="17"/>
  <c r="Y30" i="17" s="1"/>
  <c r="W30" i="17"/>
  <c r="V30" i="17"/>
  <c r="X29" i="17"/>
  <c r="Y29" i="17" s="1"/>
  <c r="W29" i="17"/>
  <c r="V29" i="17"/>
  <c r="X28" i="17"/>
  <c r="Y28" i="17" s="1"/>
  <c r="W28" i="17"/>
  <c r="V28" i="17"/>
  <c r="AG27" i="17"/>
  <c r="X27" i="17"/>
  <c r="W27" i="17"/>
  <c r="Y27" i="17" s="1"/>
  <c r="V27" i="17"/>
  <c r="X26" i="17"/>
  <c r="W26" i="17"/>
  <c r="Y26" i="17" s="1"/>
  <c r="V26" i="17"/>
  <c r="X24" i="17"/>
  <c r="W24" i="17"/>
  <c r="Y24" i="17" s="1"/>
  <c r="V24" i="17"/>
  <c r="X23" i="17"/>
  <c r="W23" i="17"/>
  <c r="Y23" i="17" s="1"/>
  <c r="V23" i="17"/>
  <c r="AM16" i="17"/>
  <c r="X16" i="17"/>
  <c r="W16" i="17"/>
  <c r="Y16" i="17" s="1"/>
  <c r="V16" i="17"/>
  <c r="AK15" i="17"/>
  <c r="AK16" i="17" s="1"/>
  <c r="AK13" i="17"/>
  <c r="AH13" i="17"/>
  <c r="AG13" i="17"/>
  <c r="X12" i="17"/>
  <c r="W12" i="17"/>
  <c r="Y12" i="17" s="1"/>
  <c r="V12" i="17"/>
  <c r="X10" i="17"/>
  <c r="W10" i="17"/>
  <c r="Y10" i="17" s="1"/>
  <c r="V10" i="17"/>
  <c r="X9" i="17"/>
  <c r="W9" i="17"/>
  <c r="Y9" i="17" s="1"/>
  <c r="V9" i="17"/>
  <c r="X72" i="15" l="1"/>
  <c r="W72" i="15"/>
  <c r="Y72" i="15" s="1"/>
  <c r="V72" i="15"/>
  <c r="X70" i="15"/>
  <c r="W70" i="15"/>
  <c r="Y70" i="15" s="1"/>
  <c r="V70" i="15"/>
  <c r="AE68" i="15"/>
  <c r="X68" i="15"/>
  <c r="Y68" i="15" s="1"/>
  <c r="W68" i="15"/>
  <c r="V68" i="15"/>
  <c r="X67" i="15"/>
  <c r="Y67" i="15" s="1"/>
  <c r="W67" i="15"/>
  <c r="V67" i="15"/>
  <c r="X66" i="15"/>
  <c r="Y66" i="15" s="1"/>
  <c r="W66" i="15"/>
  <c r="V66" i="15"/>
  <c r="Y65" i="15"/>
  <c r="V65" i="15"/>
  <c r="X64" i="15"/>
  <c r="Y64" i="15" s="1"/>
  <c r="W64" i="15"/>
  <c r="V64" i="15"/>
  <c r="Y63" i="15"/>
  <c r="V63" i="15"/>
  <c r="X62" i="15"/>
  <c r="Y62" i="15" s="1"/>
  <c r="Y61" i="15"/>
  <c r="V61" i="15"/>
  <c r="Y60" i="15"/>
  <c r="V60" i="15"/>
  <c r="X59" i="15"/>
  <c r="Y59" i="15" s="1"/>
  <c r="W59" i="15"/>
  <c r="V59" i="15"/>
  <c r="X58" i="15"/>
  <c r="Y58" i="15" s="1"/>
  <c r="W58" i="15"/>
  <c r="V58" i="15"/>
  <c r="X57" i="15"/>
  <c r="Y57" i="15" s="1"/>
  <c r="W57" i="15"/>
  <c r="V57" i="15"/>
  <c r="X56" i="15"/>
  <c r="Y56" i="15" s="1"/>
  <c r="W56" i="15"/>
  <c r="V56" i="15"/>
  <c r="X55" i="15"/>
  <c r="Y55" i="15" s="1"/>
  <c r="V55" i="15"/>
  <c r="X54" i="15"/>
  <c r="W54" i="15"/>
  <c r="Y54" i="15" s="1"/>
  <c r="V54" i="15"/>
  <c r="Y53" i="15"/>
  <c r="X53" i="15"/>
  <c r="V53" i="15"/>
  <c r="Y52" i="15"/>
  <c r="V52" i="15"/>
  <c r="Y51" i="15"/>
  <c r="V51" i="15"/>
  <c r="Y50" i="15"/>
  <c r="V50" i="15"/>
  <c r="Y49" i="15"/>
  <c r="V49" i="15"/>
  <c r="Y48" i="15"/>
  <c r="V48" i="15"/>
  <c r="X47" i="15"/>
  <c r="Y47" i="15" s="1"/>
  <c r="V47" i="15"/>
  <c r="Y46" i="15"/>
  <c r="X46" i="15"/>
  <c r="Y45" i="15"/>
  <c r="X45" i="15"/>
  <c r="W44" i="15"/>
  <c r="V44" i="15"/>
  <c r="X43" i="15"/>
  <c r="W43" i="15"/>
  <c r="Y43" i="15" s="1"/>
  <c r="V43" i="15"/>
  <c r="Y40" i="15"/>
  <c r="X40" i="15"/>
  <c r="V40" i="15"/>
  <c r="X39" i="15"/>
  <c r="Y39" i="15" s="1"/>
  <c r="W39" i="15"/>
  <c r="V39" i="15"/>
  <c r="X37" i="15"/>
  <c r="Y37" i="15" s="1"/>
  <c r="W37" i="15"/>
  <c r="V37" i="15"/>
  <c r="X36" i="15"/>
  <c r="Y36" i="15" s="1"/>
  <c r="W36" i="15"/>
  <c r="V36" i="15"/>
  <c r="X35" i="15"/>
  <c r="Y35" i="15" s="1"/>
  <c r="W35" i="15"/>
  <c r="Y34" i="15"/>
  <c r="X34" i="15"/>
  <c r="Y33" i="15"/>
  <c r="X33" i="15"/>
  <c r="X32" i="15"/>
  <c r="W32" i="15"/>
  <c r="Y32" i="15" s="1"/>
  <c r="V32" i="15"/>
  <c r="Y31" i="15"/>
  <c r="V31" i="15"/>
  <c r="X30" i="15"/>
  <c r="W30" i="15"/>
  <c r="Y30" i="15" s="1"/>
  <c r="V30" i="15"/>
  <c r="X29" i="15"/>
  <c r="W29" i="15"/>
  <c r="Y29" i="15" s="1"/>
  <c r="V29" i="15"/>
  <c r="AG28" i="15"/>
  <c r="Y28" i="15"/>
  <c r="V28" i="15"/>
  <c r="Y27" i="15"/>
  <c r="V27" i="15"/>
  <c r="X26" i="15"/>
  <c r="Y26" i="15" s="1"/>
  <c r="W26" i="15"/>
  <c r="V26" i="15"/>
  <c r="X24" i="15"/>
  <c r="Y24" i="15" s="1"/>
  <c r="W24" i="15"/>
  <c r="V24" i="15"/>
  <c r="X23" i="15"/>
  <c r="Y23" i="15" s="1"/>
  <c r="W23" i="15"/>
  <c r="V23" i="15"/>
  <c r="AF16" i="15"/>
  <c r="X16" i="15"/>
  <c r="W16" i="15"/>
  <c r="Y16" i="15" s="1"/>
  <c r="V16" i="15"/>
  <c r="Y15" i="15"/>
  <c r="V15" i="15"/>
  <c r="Y14" i="15"/>
  <c r="V14" i="15"/>
  <c r="Y13" i="15"/>
  <c r="V13" i="15"/>
  <c r="X12" i="15"/>
  <c r="W12" i="15"/>
  <c r="Y12" i="15" s="1"/>
  <c r="V12" i="15"/>
  <c r="X10" i="15"/>
  <c r="W10" i="15"/>
  <c r="Y10" i="15" s="1"/>
  <c r="V10" i="15"/>
  <c r="X9" i="15"/>
  <c r="Y9" i="15" s="1"/>
  <c r="W9" i="15"/>
  <c r="V9" i="15"/>
  <c r="AD9" i="15" l="1"/>
  <c r="X72" i="14"/>
  <c r="W72" i="14"/>
  <c r="Y72" i="14" s="1"/>
  <c r="V72" i="14"/>
  <c r="X70" i="14"/>
  <c r="W70" i="14"/>
  <c r="Y70" i="14" s="1"/>
  <c r="V70" i="14"/>
  <c r="AE68" i="14"/>
  <c r="X68" i="14"/>
  <c r="Y68" i="14" s="1"/>
  <c r="W68" i="14"/>
  <c r="V68" i="14"/>
  <c r="X67" i="14"/>
  <c r="Y67" i="14" s="1"/>
  <c r="W67" i="14"/>
  <c r="V67" i="14"/>
  <c r="X66" i="14"/>
  <c r="Y66" i="14" s="1"/>
  <c r="W66" i="14"/>
  <c r="V66" i="14"/>
  <c r="Y65" i="14"/>
  <c r="V65" i="14"/>
  <c r="X64" i="14"/>
  <c r="Y64" i="14" s="1"/>
  <c r="W64" i="14"/>
  <c r="V64" i="14"/>
  <c r="Y63" i="14"/>
  <c r="V63" i="14"/>
  <c r="X62" i="14"/>
  <c r="Y62" i="14" s="1"/>
  <c r="Y61" i="14"/>
  <c r="V61" i="14"/>
  <c r="Y60" i="14"/>
  <c r="V60" i="14"/>
  <c r="X59" i="14"/>
  <c r="Y59" i="14" s="1"/>
  <c r="W59" i="14"/>
  <c r="V59" i="14"/>
  <c r="X58" i="14"/>
  <c r="Y58" i="14" s="1"/>
  <c r="W58" i="14"/>
  <c r="V58" i="14"/>
  <c r="X57" i="14"/>
  <c r="Y57" i="14" s="1"/>
  <c r="W57" i="14"/>
  <c r="V57" i="14"/>
  <c r="X56" i="14"/>
  <c r="Y56" i="14" s="1"/>
  <c r="W56" i="14"/>
  <c r="V56" i="14"/>
  <c r="X55" i="14"/>
  <c r="Y55" i="14" s="1"/>
  <c r="X54" i="14"/>
  <c r="W54" i="14"/>
  <c r="Y54" i="14" s="1"/>
  <c r="V54" i="14"/>
  <c r="Y53" i="14"/>
  <c r="X53" i="14"/>
  <c r="V53" i="14"/>
  <c r="Y52" i="14"/>
  <c r="V52" i="14"/>
  <c r="Y51" i="14"/>
  <c r="V51" i="14"/>
  <c r="Y50" i="14"/>
  <c r="V50" i="14"/>
  <c r="Y49" i="14"/>
  <c r="V49" i="14"/>
  <c r="Y48" i="14"/>
  <c r="V48" i="14"/>
  <c r="X47" i="14"/>
  <c r="Y47" i="14" s="1"/>
  <c r="V47" i="14"/>
  <c r="Y46" i="14"/>
  <c r="X46" i="14"/>
  <c r="Y45" i="14"/>
  <c r="X45" i="14"/>
  <c r="W44" i="14"/>
  <c r="V44" i="14"/>
  <c r="X43" i="14"/>
  <c r="W43" i="14"/>
  <c r="Y43" i="14" s="1"/>
  <c r="V43" i="14"/>
  <c r="Y40" i="14"/>
  <c r="X40" i="14"/>
  <c r="V40" i="14"/>
  <c r="X39" i="14"/>
  <c r="Y39" i="14" s="1"/>
  <c r="W39" i="14"/>
  <c r="V39" i="14"/>
  <c r="X37" i="14"/>
  <c r="Y37" i="14" s="1"/>
  <c r="W37" i="14"/>
  <c r="V37" i="14"/>
  <c r="X36" i="14"/>
  <c r="Y36" i="14" s="1"/>
  <c r="W36" i="14"/>
  <c r="V36" i="14"/>
  <c r="X35" i="14"/>
  <c r="Y35" i="14" s="1"/>
  <c r="W35" i="14"/>
  <c r="Y34" i="14"/>
  <c r="X34" i="14"/>
  <c r="Y33" i="14"/>
  <c r="X33" i="14"/>
  <c r="X32" i="14"/>
  <c r="W32" i="14"/>
  <c r="Y32" i="14" s="1"/>
  <c r="V32" i="14"/>
  <c r="Y31" i="14"/>
  <c r="V31" i="14"/>
  <c r="X30" i="14"/>
  <c r="W30" i="14"/>
  <c r="Y30" i="14" s="1"/>
  <c r="V30" i="14"/>
  <c r="X29" i="14"/>
  <c r="W29" i="14"/>
  <c r="Y29" i="14" s="1"/>
  <c r="V29" i="14"/>
  <c r="AG28" i="14"/>
  <c r="Y28" i="14"/>
  <c r="V28" i="14"/>
  <c r="Y27" i="14"/>
  <c r="V27" i="14"/>
  <c r="X26" i="14"/>
  <c r="Y26" i="14" s="1"/>
  <c r="W26" i="14"/>
  <c r="V26" i="14"/>
  <c r="X24" i="14"/>
  <c r="Y24" i="14" s="1"/>
  <c r="W24" i="14"/>
  <c r="V24" i="14"/>
  <c r="X23" i="14"/>
  <c r="Y23" i="14" s="1"/>
  <c r="W23" i="14"/>
  <c r="V23" i="14"/>
  <c r="AF16" i="14"/>
  <c r="X16" i="14"/>
  <c r="W16" i="14"/>
  <c r="Y16" i="14" s="1"/>
  <c r="V16" i="14"/>
  <c r="Y15" i="14"/>
  <c r="V15" i="14"/>
  <c r="Y14" i="14"/>
  <c r="V14" i="14"/>
  <c r="Y13" i="14"/>
  <c r="V13" i="14"/>
  <c r="X12" i="14"/>
  <c r="W12" i="14"/>
  <c r="Y12" i="14" s="1"/>
  <c r="V12" i="14"/>
  <c r="X10" i="14"/>
  <c r="W10" i="14"/>
  <c r="Y10" i="14" s="1"/>
  <c r="V10" i="14"/>
  <c r="X9" i="14"/>
  <c r="Y9" i="14" s="1"/>
  <c r="W9" i="14"/>
  <c r="V9" i="14"/>
  <c r="AD9" i="14" l="1"/>
  <c r="G10" i="5" l="1"/>
  <c r="G7" i="5" l="1"/>
  <c r="W15" i="11" l="1"/>
  <c r="W46" i="9" l="1"/>
  <c r="Y70" i="11" l="1"/>
  <c r="X70" i="11"/>
  <c r="Y68" i="11"/>
  <c r="X68" i="11"/>
  <c r="V68" i="11"/>
  <c r="AE67" i="11"/>
  <c r="AD67" i="11"/>
  <c r="Y67" i="11"/>
  <c r="X67" i="11"/>
  <c r="V67" i="11"/>
  <c r="X66" i="11"/>
  <c r="Y66" i="11" s="1"/>
  <c r="W66" i="11"/>
  <c r="V66" i="11"/>
  <c r="X65" i="11"/>
  <c r="Y65" i="11" s="1"/>
  <c r="W65" i="11"/>
  <c r="V65" i="11"/>
  <c r="Y64" i="11"/>
  <c r="V64" i="11"/>
  <c r="X63" i="11"/>
  <c r="Y63" i="11" s="1"/>
  <c r="W63" i="11"/>
  <c r="V63" i="11"/>
  <c r="X62" i="11"/>
  <c r="Y62" i="11" s="1"/>
  <c r="W62" i="11"/>
  <c r="V62" i="11"/>
  <c r="X61" i="11"/>
  <c r="Y61" i="11" s="1"/>
  <c r="W61" i="11"/>
  <c r="V61" i="11"/>
  <c r="Y60" i="11"/>
  <c r="V60" i="11"/>
  <c r="Y59" i="11"/>
  <c r="V59" i="11"/>
  <c r="X58" i="11"/>
  <c r="Y58" i="11" s="1"/>
  <c r="V58" i="11"/>
  <c r="Y57" i="11"/>
  <c r="X57" i="11"/>
  <c r="V57" i="11"/>
  <c r="X56" i="11"/>
  <c r="Y56" i="11" s="1"/>
  <c r="W56" i="11"/>
  <c r="V56" i="11"/>
  <c r="X55" i="11"/>
  <c r="Y55" i="11" s="1"/>
  <c r="W55" i="11"/>
  <c r="V55" i="11"/>
  <c r="X54" i="11"/>
  <c r="Y54" i="11" s="1"/>
  <c r="V54" i="11"/>
  <c r="X53" i="11"/>
  <c r="W53" i="11"/>
  <c r="Y53" i="11" s="1"/>
  <c r="V53" i="11"/>
  <c r="Y52" i="11"/>
  <c r="X52" i="11"/>
  <c r="V52" i="11"/>
  <c r="Y51" i="11"/>
  <c r="V51" i="11"/>
  <c r="Y50" i="11"/>
  <c r="V50" i="11"/>
  <c r="Y49" i="11"/>
  <c r="V49" i="11"/>
  <c r="Y48" i="11"/>
  <c r="V48" i="11"/>
  <c r="Y47" i="11"/>
  <c r="V47" i="11"/>
  <c r="X46" i="11"/>
  <c r="Y46" i="11" s="1"/>
  <c r="V46" i="11"/>
  <c r="Y45" i="11"/>
  <c r="V45" i="11"/>
  <c r="Y44" i="11"/>
  <c r="X44" i="11"/>
  <c r="V44" i="11"/>
  <c r="X43" i="11"/>
  <c r="W42" i="11"/>
  <c r="U42" i="11"/>
  <c r="X42" i="11" s="1"/>
  <c r="Y42" i="11" s="1"/>
  <c r="X39" i="11"/>
  <c r="Y39" i="11" s="1"/>
  <c r="W39" i="11"/>
  <c r="V39" i="11"/>
  <c r="X38" i="11"/>
  <c r="Y38" i="11" s="1"/>
  <c r="V38" i="11"/>
  <c r="X36" i="11"/>
  <c r="W36" i="11"/>
  <c r="Y36" i="11" s="1"/>
  <c r="V36" i="11"/>
  <c r="X35" i="11"/>
  <c r="W35" i="11"/>
  <c r="Y35" i="11" s="1"/>
  <c r="V35" i="11"/>
  <c r="Y34" i="11"/>
  <c r="X34" i="11"/>
  <c r="Y33" i="11"/>
  <c r="X33" i="11"/>
  <c r="Y32" i="11"/>
  <c r="X32" i="11"/>
  <c r="V32" i="11"/>
  <c r="Y31" i="11"/>
  <c r="V31" i="11"/>
  <c r="X30" i="11"/>
  <c r="Y30" i="11" s="1"/>
  <c r="V30" i="11"/>
  <c r="X29" i="11"/>
  <c r="W29" i="11"/>
  <c r="Y29" i="11" s="1"/>
  <c r="V29" i="11"/>
  <c r="X28" i="11"/>
  <c r="W28" i="11"/>
  <c r="Y28" i="11" s="1"/>
  <c r="V28" i="11"/>
  <c r="AG27" i="11"/>
  <c r="Y27" i="11"/>
  <c r="V27" i="11"/>
  <c r="Y26" i="11"/>
  <c r="V26" i="11"/>
  <c r="X25" i="11"/>
  <c r="Y25" i="11" s="1"/>
  <c r="W25" i="11"/>
  <c r="V25" i="11"/>
  <c r="X24" i="11"/>
  <c r="Y24" i="11" s="1"/>
  <c r="W24" i="11"/>
  <c r="V24" i="11"/>
  <c r="Y23" i="11"/>
  <c r="V23" i="11"/>
  <c r="X16" i="11"/>
  <c r="Y16" i="11" s="1"/>
  <c r="W16" i="11"/>
  <c r="V16" i="11"/>
  <c r="X15" i="11"/>
  <c r="Y15" i="11" s="1"/>
  <c r="V15" i="11"/>
  <c r="X14" i="11"/>
  <c r="Y14" i="11" s="1"/>
  <c r="W14" i="11"/>
  <c r="V14" i="11"/>
  <c r="X13" i="11"/>
  <c r="Y13" i="11" s="1"/>
  <c r="W13" i="11"/>
  <c r="V13" i="11"/>
  <c r="X12" i="11"/>
  <c r="Y12" i="11" s="1"/>
  <c r="W12" i="11"/>
  <c r="V12" i="11"/>
  <c r="X10" i="11"/>
  <c r="Y10" i="11" s="1"/>
  <c r="W10" i="11"/>
  <c r="V10" i="11"/>
  <c r="U10" i="11"/>
  <c r="W9" i="11"/>
  <c r="U9" i="11"/>
  <c r="X9" i="11" s="1"/>
  <c r="Y9" i="11" s="1"/>
  <c r="V9" i="11" l="1"/>
  <c r="V42" i="11"/>
  <c r="U9" i="9" l="1"/>
  <c r="U10" i="9"/>
  <c r="Y70" i="9" l="1"/>
  <c r="X70" i="9"/>
  <c r="Y68" i="9"/>
  <c r="X68" i="9"/>
  <c r="V68" i="9"/>
  <c r="AE67" i="9"/>
  <c r="AD67" i="9"/>
  <c r="X67" i="9"/>
  <c r="Y67" i="9" s="1"/>
  <c r="V67" i="9"/>
  <c r="X66" i="9"/>
  <c r="W66" i="9"/>
  <c r="Y66" i="9" s="1"/>
  <c r="V66" i="9"/>
  <c r="X65" i="9"/>
  <c r="W65" i="9"/>
  <c r="Y65" i="9" s="1"/>
  <c r="V65" i="9"/>
  <c r="Y64" i="9"/>
  <c r="V64" i="9"/>
  <c r="X63" i="9"/>
  <c r="W63" i="9"/>
  <c r="Y63" i="9" s="1"/>
  <c r="V63" i="9"/>
  <c r="X62" i="9"/>
  <c r="W62" i="9"/>
  <c r="Y62" i="9" s="1"/>
  <c r="V62" i="9"/>
  <c r="X61" i="9"/>
  <c r="W61" i="9"/>
  <c r="Y61" i="9" s="1"/>
  <c r="V61" i="9"/>
  <c r="Y60" i="9"/>
  <c r="V60" i="9"/>
  <c r="Y59" i="9"/>
  <c r="V59" i="9"/>
  <c r="Y58" i="9"/>
  <c r="X58" i="9"/>
  <c r="V58" i="9"/>
  <c r="X57" i="9"/>
  <c r="Y57" i="9" s="1"/>
  <c r="V57" i="9"/>
  <c r="X56" i="9"/>
  <c r="W56" i="9"/>
  <c r="Y56" i="9" s="1"/>
  <c r="V56" i="9"/>
  <c r="X55" i="9"/>
  <c r="W55" i="9"/>
  <c r="Y55" i="9" s="1"/>
  <c r="V55" i="9"/>
  <c r="Y54" i="9"/>
  <c r="X54" i="9"/>
  <c r="V54" i="9"/>
  <c r="X53" i="9"/>
  <c r="Y53" i="9" s="1"/>
  <c r="W53" i="9"/>
  <c r="V53" i="9"/>
  <c r="X52" i="9"/>
  <c r="Y52" i="9" s="1"/>
  <c r="V52" i="9"/>
  <c r="Y51" i="9"/>
  <c r="V51" i="9"/>
  <c r="Y50" i="9"/>
  <c r="V50" i="9"/>
  <c r="Y49" i="9"/>
  <c r="V49" i="9"/>
  <c r="Y48" i="9"/>
  <c r="V48" i="9"/>
  <c r="Y47" i="9"/>
  <c r="V47" i="9"/>
  <c r="Y46" i="9"/>
  <c r="X46" i="9"/>
  <c r="V46" i="9"/>
  <c r="Y45" i="9"/>
  <c r="V45" i="9"/>
  <c r="X44" i="9"/>
  <c r="Y44" i="9" s="1"/>
  <c r="V44" i="9"/>
  <c r="X43" i="9"/>
  <c r="X42" i="9"/>
  <c r="Y42" i="9" s="1"/>
  <c r="W42" i="9"/>
  <c r="V42" i="9"/>
  <c r="U42" i="9"/>
  <c r="X39" i="9"/>
  <c r="W39" i="9"/>
  <c r="Y39" i="9" s="1"/>
  <c r="V39" i="9"/>
  <c r="Y38" i="9"/>
  <c r="X38" i="9"/>
  <c r="V38" i="9"/>
  <c r="X36" i="9"/>
  <c r="Y36" i="9" s="1"/>
  <c r="W36" i="9"/>
  <c r="V36" i="9"/>
  <c r="X35" i="9"/>
  <c r="Y35" i="9" s="1"/>
  <c r="W35" i="9"/>
  <c r="V35" i="9"/>
  <c r="X34" i="9"/>
  <c r="Y34" i="9" s="1"/>
  <c r="X33" i="9"/>
  <c r="Y33" i="9" s="1"/>
  <c r="X32" i="9"/>
  <c r="Y32" i="9" s="1"/>
  <c r="V32" i="9"/>
  <c r="Y31" i="9"/>
  <c r="V31" i="9"/>
  <c r="Y30" i="9"/>
  <c r="X30" i="9"/>
  <c r="V30" i="9"/>
  <c r="X29" i="9"/>
  <c r="Y29" i="9" s="1"/>
  <c r="W29" i="9"/>
  <c r="V29" i="9"/>
  <c r="X28" i="9"/>
  <c r="Y28" i="9" s="1"/>
  <c r="W28" i="9"/>
  <c r="V28" i="9"/>
  <c r="AG27" i="9"/>
  <c r="Y27" i="9"/>
  <c r="V27" i="9"/>
  <c r="Y26" i="9"/>
  <c r="V26" i="9"/>
  <c r="X25" i="9"/>
  <c r="W25" i="9"/>
  <c r="Y25" i="9" s="1"/>
  <c r="V25" i="9"/>
  <c r="X24" i="9"/>
  <c r="W24" i="9"/>
  <c r="Y24" i="9" s="1"/>
  <c r="V24" i="9"/>
  <c r="Y23" i="9"/>
  <c r="V23" i="9"/>
  <c r="X16" i="9"/>
  <c r="W16" i="9"/>
  <c r="Y16" i="9" s="1"/>
  <c r="V16" i="9"/>
  <c r="X15" i="9"/>
  <c r="W15" i="9"/>
  <c r="Y15" i="9" s="1"/>
  <c r="V15" i="9"/>
  <c r="X14" i="9"/>
  <c r="W14" i="9"/>
  <c r="Y14" i="9" s="1"/>
  <c r="V14" i="9"/>
  <c r="X13" i="9"/>
  <c r="W13" i="9"/>
  <c r="Y13" i="9" s="1"/>
  <c r="V13" i="9"/>
  <c r="X12" i="9"/>
  <c r="W12" i="9"/>
  <c r="Y12" i="9" s="1"/>
  <c r="V12" i="9"/>
  <c r="X10" i="9"/>
  <c r="W10" i="9"/>
  <c r="V10" i="9"/>
  <c r="X9" i="9"/>
  <c r="W9" i="9"/>
  <c r="V9" i="9"/>
  <c r="Y10" i="9" l="1"/>
  <c r="Y9" i="9"/>
  <c r="G12" i="5" l="1"/>
  <c r="X69" i="8" l="1"/>
  <c r="Y69" i="8" s="1"/>
  <c r="W69" i="8"/>
  <c r="V69" i="8"/>
  <c r="X67" i="8"/>
  <c r="Y67" i="8" s="1"/>
  <c r="V67" i="8"/>
  <c r="AE66" i="8"/>
  <c r="AD66" i="8"/>
  <c r="X66" i="8"/>
  <c r="W66" i="8"/>
  <c r="Y66" i="8" s="1"/>
  <c r="V66" i="8"/>
  <c r="X65" i="8"/>
  <c r="W65" i="8"/>
  <c r="Y65" i="8" s="1"/>
  <c r="V65" i="8"/>
  <c r="X64" i="8"/>
  <c r="W64" i="8"/>
  <c r="Y64" i="8" s="1"/>
  <c r="V64" i="8"/>
  <c r="Y63" i="8"/>
  <c r="X63" i="8"/>
  <c r="V63" i="8"/>
  <c r="X62" i="8"/>
  <c r="Y62" i="8" s="1"/>
  <c r="W62" i="8"/>
  <c r="V62" i="8"/>
  <c r="X61" i="8"/>
  <c r="Y61" i="8" s="1"/>
  <c r="W61" i="8"/>
  <c r="V61" i="8"/>
  <c r="X60" i="8"/>
  <c r="Y60" i="8" s="1"/>
  <c r="W60" i="8"/>
  <c r="V60" i="8"/>
  <c r="X59" i="8"/>
  <c r="Y59" i="8" s="1"/>
  <c r="V59" i="8"/>
  <c r="Y58" i="8"/>
  <c r="X58" i="8"/>
  <c r="V58" i="8"/>
  <c r="X57" i="8"/>
  <c r="Y57" i="8" s="1"/>
  <c r="W57" i="8"/>
  <c r="V57" i="8"/>
  <c r="X56" i="8"/>
  <c r="Y56" i="8" s="1"/>
  <c r="W56" i="8"/>
  <c r="V56" i="8"/>
  <c r="X55" i="8"/>
  <c r="Y55" i="8" s="1"/>
  <c r="W55" i="8"/>
  <c r="V55" i="8"/>
  <c r="X54" i="8"/>
  <c r="Y54" i="8" s="1"/>
  <c r="V54" i="8"/>
  <c r="X53" i="8"/>
  <c r="W53" i="8"/>
  <c r="Y53" i="8" s="1"/>
  <c r="V53" i="8"/>
  <c r="X52" i="8"/>
  <c r="W52" i="8"/>
  <c r="Y52" i="8" s="1"/>
  <c r="V52" i="8"/>
  <c r="X51" i="8"/>
  <c r="W51" i="8"/>
  <c r="Y51" i="8" s="1"/>
  <c r="V51" i="8"/>
  <c r="X50" i="8"/>
  <c r="W50" i="8"/>
  <c r="Y50" i="8" s="1"/>
  <c r="V50" i="8"/>
  <c r="Y49" i="8"/>
  <c r="X49" i="8"/>
  <c r="V49" i="8"/>
  <c r="X48" i="8"/>
  <c r="Y48" i="8" s="1"/>
  <c r="V48" i="8"/>
  <c r="X47" i="8"/>
  <c r="W47" i="8"/>
  <c r="Y47" i="8" s="1"/>
  <c r="V47" i="8"/>
  <c r="X46" i="8"/>
  <c r="W46" i="8"/>
  <c r="Y46" i="8" s="1"/>
  <c r="V46" i="8"/>
  <c r="X45" i="8"/>
  <c r="W45" i="8"/>
  <c r="Y45" i="8" s="1"/>
  <c r="V45" i="8"/>
  <c r="Y44" i="8"/>
  <c r="X44" i="8"/>
  <c r="V44" i="8"/>
  <c r="X43" i="8"/>
  <c r="Y43" i="8" s="1"/>
  <c r="W43" i="8"/>
  <c r="V43" i="8"/>
  <c r="X42" i="8"/>
  <c r="Y42" i="8" s="1"/>
  <c r="V42" i="8"/>
  <c r="X41" i="8"/>
  <c r="W41" i="8"/>
  <c r="Y41" i="8" s="1"/>
  <c r="V41" i="8"/>
  <c r="X38" i="8"/>
  <c r="W38" i="8"/>
  <c r="Y38" i="8" s="1"/>
  <c r="V38" i="8"/>
  <c r="X37" i="8"/>
  <c r="W37" i="8"/>
  <c r="Y37" i="8" s="1"/>
  <c r="V37" i="8"/>
  <c r="X36" i="8"/>
  <c r="W36" i="8"/>
  <c r="Y36" i="8" s="1"/>
  <c r="V36" i="8"/>
  <c r="X35" i="8"/>
  <c r="W35" i="8"/>
  <c r="Y35" i="8" s="1"/>
  <c r="V35" i="8"/>
  <c r="X34" i="8"/>
  <c r="W34" i="8"/>
  <c r="Y34" i="8" s="1"/>
  <c r="V34" i="8"/>
  <c r="X33" i="8"/>
  <c r="W33" i="8"/>
  <c r="Y33" i="8" s="1"/>
  <c r="V33" i="8"/>
  <c r="X32" i="8"/>
  <c r="W32" i="8"/>
  <c r="Y32" i="8" s="1"/>
  <c r="V32" i="8"/>
  <c r="Y31" i="8"/>
  <c r="X31" i="8"/>
  <c r="V31" i="8"/>
  <c r="X30" i="8"/>
  <c r="Y30" i="8" s="1"/>
  <c r="V30" i="8"/>
  <c r="X29" i="8"/>
  <c r="W29" i="8"/>
  <c r="Y29" i="8" s="1"/>
  <c r="V29" i="8"/>
  <c r="X28" i="8"/>
  <c r="W28" i="8"/>
  <c r="Y28" i="8" s="1"/>
  <c r="V28" i="8"/>
  <c r="Y27" i="8"/>
  <c r="X27" i="8"/>
  <c r="V27" i="8"/>
  <c r="X26" i="8"/>
  <c r="Y26" i="8" s="1"/>
  <c r="V26" i="8"/>
  <c r="X25" i="8"/>
  <c r="W25" i="8"/>
  <c r="Y25" i="8" s="1"/>
  <c r="V25" i="8"/>
  <c r="X24" i="8"/>
  <c r="W24" i="8"/>
  <c r="Y24" i="8" s="1"/>
  <c r="V24" i="8"/>
  <c r="X23" i="8"/>
  <c r="W23" i="8"/>
  <c r="Y23" i="8" s="1"/>
  <c r="V23" i="8"/>
  <c r="Y16" i="8"/>
  <c r="X16" i="8"/>
  <c r="V16" i="8"/>
  <c r="X15" i="8"/>
  <c r="Y15" i="8" s="1"/>
  <c r="W15" i="8"/>
  <c r="V15" i="8"/>
  <c r="X14" i="8"/>
  <c r="Y14" i="8" s="1"/>
  <c r="W14" i="8"/>
  <c r="V14" i="8"/>
  <c r="X13" i="8"/>
  <c r="Y13" i="8" s="1"/>
  <c r="W13" i="8"/>
  <c r="V13" i="8"/>
  <c r="X12" i="8"/>
  <c r="Y12" i="8" s="1"/>
  <c r="W12" i="8"/>
  <c r="V12" i="8"/>
  <c r="X10" i="8"/>
  <c r="Y10" i="8" s="1"/>
  <c r="W10" i="8"/>
  <c r="V10" i="8"/>
  <c r="X9" i="8"/>
  <c r="Y9" i="8" s="1"/>
  <c r="W9" i="8"/>
  <c r="V9" i="8"/>
  <c r="X69" i="7" l="1"/>
  <c r="W69" i="7"/>
  <c r="Y69" i="7" s="1"/>
  <c r="V69" i="7"/>
  <c r="X67" i="7"/>
  <c r="W67" i="7"/>
  <c r="Y67" i="7" s="1"/>
  <c r="V67" i="7"/>
  <c r="AE66" i="7"/>
  <c r="AD66" i="7"/>
  <c r="X66" i="7"/>
  <c r="W66" i="7"/>
  <c r="Y66" i="7" s="1"/>
  <c r="V66" i="7"/>
  <c r="X65" i="7"/>
  <c r="W65" i="7"/>
  <c r="Y65" i="7" s="1"/>
  <c r="V65" i="7"/>
  <c r="X64" i="7"/>
  <c r="W64" i="7"/>
  <c r="Y64" i="7" s="1"/>
  <c r="V64" i="7"/>
  <c r="X63" i="7"/>
  <c r="W63" i="7"/>
  <c r="Y63" i="7" s="1"/>
  <c r="V63" i="7"/>
  <c r="X62" i="7"/>
  <c r="W62" i="7"/>
  <c r="Y62" i="7" s="1"/>
  <c r="V62" i="7"/>
  <c r="X61" i="7"/>
  <c r="W61" i="7"/>
  <c r="Y61" i="7" s="1"/>
  <c r="V61" i="7"/>
  <c r="X60" i="7"/>
  <c r="W60" i="7"/>
  <c r="Y60" i="7" s="1"/>
  <c r="V60" i="7"/>
  <c r="X59" i="7"/>
  <c r="W59" i="7"/>
  <c r="Y59" i="7" s="1"/>
  <c r="V59" i="7"/>
  <c r="X58" i="7"/>
  <c r="W58" i="7"/>
  <c r="Y58" i="7" s="1"/>
  <c r="V58" i="7"/>
  <c r="X57" i="7"/>
  <c r="W57" i="7"/>
  <c r="Y57" i="7" s="1"/>
  <c r="V57" i="7"/>
  <c r="X56" i="7"/>
  <c r="W56" i="7"/>
  <c r="Y56" i="7" s="1"/>
  <c r="V56" i="7"/>
  <c r="X55" i="7"/>
  <c r="W55" i="7"/>
  <c r="Y55" i="7" s="1"/>
  <c r="V55" i="7"/>
  <c r="X54" i="7"/>
  <c r="W54" i="7"/>
  <c r="Y54" i="7" s="1"/>
  <c r="V54" i="7"/>
  <c r="X53" i="7"/>
  <c r="W53" i="7"/>
  <c r="Y53" i="7" s="1"/>
  <c r="V53" i="7"/>
  <c r="X52" i="7"/>
  <c r="W52" i="7"/>
  <c r="Y52" i="7" s="1"/>
  <c r="V52" i="7"/>
  <c r="X51" i="7"/>
  <c r="W51" i="7"/>
  <c r="Y51" i="7" s="1"/>
  <c r="V51" i="7"/>
  <c r="X50" i="7"/>
  <c r="W50" i="7"/>
  <c r="Y50" i="7" s="1"/>
  <c r="V50" i="7"/>
  <c r="X49" i="7"/>
  <c r="W49" i="7"/>
  <c r="Y49" i="7" s="1"/>
  <c r="V49" i="7"/>
  <c r="X48" i="7"/>
  <c r="W48" i="7"/>
  <c r="Y48" i="7" s="1"/>
  <c r="V48" i="7"/>
  <c r="X47" i="7"/>
  <c r="W47" i="7"/>
  <c r="Y47" i="7" s="1"/>
  <c r="V47" i="7"/>
  <c r="X46" i="7"/>
  <c r="W46" i="7"/>
  <c r="Y46" i="7" s="1"/>
  <c r="V46" i="7"/>
  <c r="X45" i="7"/>
  <c r="W45" i="7"/>
  <c r="Y45" i="7" s="1"/>
  <c r="V45" i="7"/>
  <c r="X44" i="7"/>
  <c r="W44" i="7"/>
  <c r="Y44" i="7" s="1"/>
  <c r="V44" i="7"/>
  <c r="X43" i="7"/>
  <c r="W43" i="7"/>
  <c r="Y43" i="7" s="1"/>
  <c r="V43" i="7"/>
  <c r="X42" i="7"/>
  <c r="W42" i="7"/>
  <c r="Y42" i="7" s="1"/>
  <c r="V42" i="7"/>
  <c r="X41" i="7"/>
  <c r="W41" i="7"/>
  <c r="Y41" i="7" s="1"/>
  <c r="V41" i="7"/>
  <c r="X38" i="7"/>
  <c r="W38" i="7"/>
  <c r="Y38" i="7" s="1"/>
  <c r="V38" i="7"/>
  <c r="X37" i="7"/>
  <c r="W37" i="7"/>
  <c r="Y37" i="7" s="1"/>
  <c r="V37" i="7"/>
  <c r="X36" i="7"/>
  <c r="W36" i="7"/>
  <c r="Y36" i="7" s="1"/>
  <c r="V36" i="7"/>
  <c r="X35" i="7"/>
  <c r="W35" i="7"/>
  <c r="Y35" i="7" s="1"/>
  <c r="V35" i="7"/>
  <c r="X34" i="7"/>
  <c r="W34" i="7"/>
  <c r="Y34" i="7" s="1"/>
  <c r="V34" i="7"/>
  <c r="X33" i="7"/>
  <c r="W33" i="7"/>
  <c r="Y33" i="7" s="1"/>
  <c r="V33" i="7"/>
  <c r="X32" i="7"/>
  <c r="W32" i="7"/>
  <c r="Y32" i="7" s="1"/>
  <c r="V32" i="7"/>
  <c r="X31" i="7"/>
  <c r="W31" i="7"/>
  <c r="Y31" i="7" s="1"/>
  <c r="V31" i="7"/>
  <c r="X30" i="7"/>
  <c r="W30" i="7"/>
  <c r="Y30" i="7" s="1"/>
  <c r="V30" i="7"/>
  <c r="X29" i="7"/>
  <c r="W29" i="7"/>
  <c r="Y29" i="7" s="1"/>
  <c r="V29" i="7"/>
  <c r="X28" i="7"/>
  <c r="W28" i="7"/>
  <c r="Y28" i="7" s="1"/>
  <c r="V28" i="7"/>
  <c r="X27" i="7"/>
  <c r="W27" i="7"/>
  <c r="Y27" i="7" s="1"/>
  <c r="V27" i="7"/>
  <c r="X26" i="7"/>
  <c r="W26" i="7"/>
  <c r="Y26" i="7" s="1"/>
  <c r="V26" i="7"/>
  <c r="X25" i="7"/>
  <c r="W25" i="7"/>
  <c r="Y25" i="7" s="1"/>
  <c r="V25" i="7"/>
  <c r="X24" i="7"/>
  <c r="W24" i="7"/>
  <c r="Y24" i="7" s="1"/>
  <c r="V24" i="7"/>
  <c r="X23" i="7"/>
  <c r="W23" i="7"/>
  <c r="Y23" i="7" s="1"/>
  <c r="V23" i="7"/>
  <c r="X16" i="7"/>
  <c r="W16" i="7"/>
  <c r="Y16" i="7" s="1"/>
  <c r="V16" i="7"/>
  <c r="X15" i="7"/>
  <c r="W15" i="7"/>
  <c r="Y15" i="7" s="1"/>
  <c r="V15" i="7"/>
  <c r="X14" i="7"/>
  <c r="W14" i="7"/>
  <c r="Y14" i="7" s="1"/>
  <c r="V14" i="7"/>
  <c r="X13" i="7"/>
  <c r="W13" i="7"/>
  <c r="Y13" i="7" s="1"/>
  <c r="V13" i="7"/>
  <c r="X12" i="7"/>
  <c r="W12" i="7"/>
  <c r="Y12" i="7" s="1"/>
  <c r="V12" i="7"/>
  <c r="X10" i="7"/>
  <c r="W10" i="7"/>
  <c r="Y10" i="7" s="1"/>
  <c r="V10" i="7"/>
  <c r="X9" i="7"/>
  <c r="W9" i="7"/>
  <c r="Y9" i="7" s="1"/>
  <c r="V9" i="7"/>
  <c r="G8" i="5" l="1"/>
  <c r="G6" i="5"/>
  <c r="G5" i="5" l="1"/>
  <c r="G15" i="5" l="1"/>
</calcChain>
</file>

<file path=xl/comments1.xml><?xml version="1.0" encoding="utf-8"?>
<comments xmlns="http://schemas.openxmlformats.org/spreadsheetml/2006/main">
  <authors>
    <author>Elizabeth Murcia</author>
    <author>Julio I. Serrano Quintanilla</author>
  </authors>
  <commentList>
    <comment ref="K9" authorId="0" shapeId="0">
      <text>
        <r>
          <rPr>
            <b/>
            <sz val="20"/>
            <color indexed="81"/>
            <rFont val="Tahoma"/>
            <family val="2"/>
          </rPr>
          <t xml:space="preserve">Julio Serrano: </t>
        </r>
        <r>
          <rPr>
            <sz val="20"/>
            <color indexed="81"/>
            <rFont val="Tahoma"/>
            <family val="2"/>
          </rPr>
          <t xml:space="preserve">
Utilidades del ejercicio anterior-utilidades del ejercicio actual</t>
        </r>
      </text>
    </comment>
    <comment ref="X26" authorId="1" shapeId="0">
      <text>
        <r>
          <rPr>
            <b/>
            <sz val="20"/>
            <color indexed="81"/>
            <rFont val="Tahoma"/>
            <family val="2"/>
          </rPr>
          <t>Promedio a septiembre</t>
        </r>
      </text>
    </comment>
    <comment ref="X27" authorId="1" shapeId="0">
      <text>
        <r>
          <rPr>
            <b/>
            <sz val="20"/>
            <color indexed="81"/>
            <rFont val="Tahoma"/>
            <family val="2"/>
          </rPr>
          <t xml:space="preserve">Promedio a septiembre
</t>
        </r>
      </text>
    </comment>
    <comment ref="W64" authorId="1" shapeId="0">
      <text>
        <r>
          <rPr>
            <b/>
            <sz val="9"/>
            <color indexed="81"/>
            <rFont val="Tahoma"/>
            <family val="2"/>
          </rPr>
          <t>Se ajusto porcentaje</t>
        </r>
        <r>
          <rPr>
            <sz val="9"/>
            <color indexed="81"/>
            <rFont val="Tahoma"/>
            <family val="2"/>
          </rPr>
          <t xml:space="preserve">
</t>
        </r>
      </text>
    </comment>
  </commentList>
</comments>
</file>

<file path=xl/comments2.xml><?xml version="1.0" encoding="utf-8"?>
<comments xmlns="http://schemas.openxmlformats.org/spreadsheetml/2006/main">
  <authors>
    <author>Elizabeth Murcia</author>
    <author>Julio I. Serrano Quintanilla</author>
  </authors>
  <commentList>
    <comment ref="K9" authorId="0" shapeId="0">
      <text>
        <r>
          <rPr>
            <b/>
            <sz val="20"/>
            <color indexed="81"/>
            <rFont val="Tahoma"/>
            <family val="2"/>
          </rPr>
          <t xml:space="preserve">Julio Serrano: </t>
        </r>
        <r>
          <rPr>
            <sz val="20"/>
            <color indexed="81"/>
            <rFont val="Tahoma"/>
            <family val="2"/>
          </rPr>
          <t xml:space="preserve">
Utilidades del ejercicio anterior-utilidades del ejercicio actual</t>
        </r>
      </text>
    </comment>
    <comment ref="X26" authorId="1" shapeId="0">
      <text>
        <r>
          <rPr>
            <b/>
            <sz val="20"/>
            <color indexed="81"/>
            <rFont val="Tahoma"/>
            <family val="2"/>
          </rPr>
          <t>Promedio a septiembre</t>
        </r>
      </text>
    </comment>
    <comment ref="X27" authorId="1" shapeId="0">
      <text>
        <r>
          <rPr>
            <b/>
            <sz val="20"/>
            <color indexed="81"/>
            <rFont val="Tahoma"/>
            <family val="2"/>
          </rPr>
          <t xml:space="preserve">Promedio a septiembre
</t>
        </r>
      </text>
    </comment>
    <comment ref="W64" authorId="1" shapeId="0">
      <text>
        <r>
          <rPr>
            <b/>
            <sz val="9"/>
            <color indexed="81"/>
            <rFont val="Tahoma"/>
            <family val="2"/>
          </rPr>
          <t>Se ajusto porcentaje</t>
        </r>
        <r>
          <rPr>
            <sz val="9"/>
            <color indexed="81"/>
            <rFont val="Tahoma"/>
            <family val="2"/>
          </rPr>
          <t xml:space="preserve">
</t>
        </r>
      </text>
    </comment>
  </commentList>
</comments>
</file>

<file path=xl/comments3.xml><?xml version="1.0" encoding="utf-8"?>
<comments xmlns="http://schemas.openxmlformats.org/spreadsheetml/2006/main">
  <authors>
    <author>Elizabeth Murcia</author>
    <author>Julio I. Serrano Quintanilla</author>
  </authors>
  <commentList>
    <comment ref="K9" authorId="0" shapeId="0">
      <text>
        <r>
          <rPr>
            <b/>
            <sz val="20"/>
            <color indexed="81"/>
            <rFont val="Tahoma"/>
            <family val="2"/>
          </rPr>
          <t xml:space="preserve">Julio Serrano: </t>
        </r>
        <r>
          <rPr>
            <sz val="20"/>
            <color indexed="81"/>
            <rFont val="Tahoma"/>
            <family val="2"/>
          </rPr>
          <t xml:space="preserve">
Utilidades del ejercicio anterior-utilidades del ejercicio actual</t>
        </r>
      </text>
    </comment>
    <comment ref="X26" authorId="1" shapeId="0">
      <text>
        <r>
          <rPr>
            <b/>
            <sz val="20"/>
            <color indexed="81"/>
            <rFont val="Tahoma"/>
            <family val="2"/>
          </rPr>
          <t>Promedio a septiembre</t>
        </r>
      </text>
    </comment>
    <comment ref="X27" authorId="1" shapeId="0">
      <text>
        <r>
          <rPr>
            <b/>
            <sz val="20"/>
            <color indexed="81"/>
            <rFont val="Tahoma"/>
            <family val="2"/>
          </rPr>
          <t xml:space="preserve">Promedio a septiembre
</t>
        </r>
      </text>
    </comment>
    <comment ref="W65" authorId="1" shapeId="0">
      <text>
        <r>
          <rPr>
            <b/>
            <sz val="9"/>
            <color indexed="81"/>
            <rFont val="Tahoma"/>
            <family val="2"/>
          </rPr>
          <t>Se ajusto porcentaje</t>
        </r>
        <r>
          <rPr>
            <sz val="9"/>
            <color indexed="81"/>
            <rFont val="Tahoma"/>
            <family val="2"/>
          </rPr>
          <t xml:space="preserve">
</t>
        </r>
      </text>
    </comment>
  </commentList>
</comments>
</file>

<file path=xl/comments4.xml><?xml version="1.0" encoding="utf-8"?>
<comments xmlns="http://schemas.openxmlformats.org/spreadsheetml/2006/main">
  <authors>
    <author>Elizabeth Murcia</author>
    <author>Julio I. Serrano Quintanilla</author>
  </authors>
  <commentList>
    <comment ref="K9" authorId="0" shapeId="0">
      <text>
        <r>
          <rPr>
            <b/>
            <sz val="20"/>
            <color indexed="81"/>
            <rFont val="Tahoma"/>
            <family val="2"/>
          </rPr>
          <t xml:space="preserve">Julio Serrano: </t>
        </r>
        <r>
          <rPr>
            <sz val="20"/>
            <color indexed="81"/>
            <rFont val="Tahoma"/>
            <family val="2"/>
          </rPr>
          <t xml:space="preserve">
Utilidades del ejercicio anterior-utilidades del ejercicio actual</t>
        </r>
      </text>
    </comment>
    <comment ref="X26" authorId="1" shapeId="0">
      <text>
        <r>
          <rPr>
            <b/>
            <sz val="20"/>
            <color indexed="81"/>
            <rFont val="Tahoma"/>
            <family val="2"/>
          </rPr>
          <t>Promedio a septiembre</t>
        </r>
      </text>
    </comment>
    <comment ref="X27" authorId="1" shapeId="0">
      <text>
        <r>
          <rPr>
            <b/>
            <sz val="20"/>
            <color indexed="81"/>
            <rFont val="Tahoma"/>
            <family val="2"/>
          </rPr>
          <t xml:space="preserve">Promedio a septiembre
</t>
        </r>
      </text>
    </comment>
    <comment ref="W65" authorId="1" shapeId="0">
      <text>
        <r>
          <rPr>
            <b/>
            <sz val="9"/>
            <color indexed="81"/>
            <rFont val="Tahoma"/>
            <family val="2"/>
          </rPr>
          <t>Se ajusto porcentaje</t>
        </r>
        <r>
          <rPr>
            <sz val="9"/>
            <color indexed="81"/>
            <rFont val="Tahoma"/>
            <family val="2"/>
          </rPr>
          <t xml:space="preserve">
</t>
        </r>
      </text>
    </comment>
  </commentList>
</comments>
</file>

<file path=xl/comments5.xml><?xml version="1.0" encoding="utf-8"?>
<comments xmlns="http://schemas.openxmlformats.org/spreadsheetml/2006/main">
  <authors>
    <author>Elizabeth Murcia</author>
    <author>Julio I. Serrano Quintanilla</author>
  </authors>
  <commentList>
    <comment ref="K9" authorId="0" shapeId="0">
      <text>
        <r>
          <rPr>
            <b/>
            <sz val="20"/>
            <color indexed="81"/>
            <rFont val="Tahoma"/>
            <family val="2"/>
          </rPr>
          <t xml:space="preserve">Julio Serrano: </t>
        </r>
        <r>
          <rPr>
            <sz val="20"/>
            <color indexed="81"/>
            <rFont val="Tahoma"/>
            <family val="2"/>
          </rPr>
          <t xml:space="preserve">
Utilidades del ejercicio anterior-utilidades del ejercicio actual</t>
        </r>
      </text>
    </comment>
    <comment ref="W66" authorId="1" shapeId="0">
      <text>
        <r>
          <rPr>
            <b/>
            <sz val="9"/>
            <color indexed="81"/>
            <rFont val="Tahoma"/>
            <family val="2"/>
          </rPr>
          <t>Se ajusto porcentaje</t>
        </r>
        <r>
          <rPr>
            <sz val="9"/>
            <color indexed="81"/>
            <rFont val="Tahoma"/>
            <family val="2"/>
          </rPr>
          <t xml:space="preserve">
</t>
        </r>
      </text>
    </comment>
  </commentList>
</comments>
</file>

<file path=xl/comments6.xml><?xml version="1.0" encoding="utf-8"?>
<comments xmlns="http://schemas.openxmlformats.org/spreadsheetml/2006/main">
  <authors>
    <author>Elizabeth Murcia</author>
    <author>Julio I. Serrano Quintanilla</author>
  </authors>
  <commentList>
    <comment ref="K9" authorId="0" shapeId="0">
      <text>
        <r>
          <rPr>
            <b/>
            <sz val="20"/>
            <color indexed="81"/>
            <rFont val="Tahoma"/>
            <family val="2"/>
          </rPr>
          <t xml:space="preserve">Julio Serrano: </t>
        </r>
        <r>
          <rPr>
            <sz val="20"/>
            <color indexed="81"/>
            <rFont val="Tahoma"/>
            <family val="2"/>
          </rPr>
          <t xml:space="preserve">
Utilidades del ejercicio anterior-utilidades del ejercicio actual</t>
        </r>
      </text>
    </comment>
    <comment ref="W66" authorId="1" shapeId="0">
      <text>
        <r>
          <rPr>
            <b/>
            <sz val="9"/>
            <color indexed="81"/>
            <rFont val="Tahoma"/>
            <family val="2"/>
          </rPr>
          <t>Se ajusto porcentaje</t>
        </r>
        <r>
          <rPr>
            <sz val="9"/>
            <color indexed="81"/>
            <rFont val="Tahoma"/>
            <family val="2"/>
          </rPr>
          <t xml:space="preserve">
</t>
        </r>
      </text>
    </comment>
  </commentList>
</comments>
</file>

<file path=xl/comments7.xml><?xml version="1.0" encoding="utf-8"?>
<comments xmlns="http://schemas.openxmlformats.org/spreadsheetml/2006/main">
  <authors>
    <author>Elizabeth Murcia</author>
    <author>Julio I. Serrano Quintanilla</author>
  </authors>
  <commentList>
    <comment ref="K9" authorId="0" shapeId="0">
      <text>
        <r>
          <rPr>
            <b/>
            <sz val="20"/>
            <color indexed="81"/>
            <rFont val="Tahoma"/>
            <family val="2"/>
          </rPr>
          <t xml:space="preserve">Julio Serrano: </t>
        </r>
        <r>
          <rPr>
            <sz val="20"/>
            <color indexed="81"/>
            <rFont val="Tahoma"/>
            <family val="2"/>
          </rPr>
          <t xml:space="preserve">
Utilidades del ejercicio anterior-utilidades del ejercicio actual</t>
        </r>
      </text>
    </comment>
    <comment ref="W60" authorId="1" shapeId="0">
      <text>
        <r>
          <rPr>
            <b/>
            <sz val="9"/>
            <color indexed="81"/>
            <rFont val="Tahoma"/>
            <family val="2"/>
          </rPr>
          <t>Se ajusto porcentaje</t>
        </r>
        <r>
          <rPr>
            <sz val="9"/>
            <color indexed="81"/>
            <rFont val="Tahoma"/>
            <family val="2"/>
          </rPr>
          <t xml:space="preserve">
</t>
        </r>
      </text>
    </comment>
    <comment ref="O64" authorId="1" shapeId="0">
      <text>
        <r>
          <rPr>
            <b/>
            <sz val="18"/>
            <color indexed="81"/>
            <rFont val="Tahoma"/>
            <family val="2"/>
          </rPr>
          <t xml:space="preserve">Con este objetivo no se cumple la ejecución del indicador 2 del objetivo estratégico, 402.
</t>
        </r>
      </text>
    </comment>
  </commentList>
</comments>
</file>

<file path=xl/comments8.xml><?xml version="1.0" encoding="utf-8"?>
<comments xmlns="http://schemas.openxmlformats.org/spreadsheetml/2006/main">
  <authors>
    <author>Elizabeth Murcia</author>
    <author>Julio I. Serrano Quintanilla</author>
  </authors>
  <commentList>
    <comment ref="G9" authorId="0" shapeId="0">
      <text>
        <r>
          <rPr>
            <b/>
            <sz val="20"/>
            <color indexed="81"/>
            <rFont val="Tahoma"/>
            <family val="2"/>
          </rPr>
          <t xml:space="preserve">Julio Serrano: </t>
        </r>
        <r>
          <rPr>
            <sz val="20"/>
            <color indexed="81"/>
            <rFont val="Tahoma"/>
            <family val="2"/>
          </rPr>
          <t xml:space="preserve">
Utilidades del ejercicio anterior-utilidades del ejercicio actual</t>
        </r>
      </text>
    </comment>
    <comment ref="P60" authorId="1" shapeId="0">
      <text>
        <r>
          <rPr>
            <b/>
            <sz val="9"/>
            <color indexed="81"/>
            <rFont val="Tahoma"/>
            <family val="2"/>
          </rPr>
          <t>Se ajusto porcentaje</t>
        </r>
        <r>
          <rPr>
            <sz val="9"/>
            <color indexed="81"/>
            <rFont val="Tahoma"/>
            <family val="2"/>
          </rPr>
          <t xml:space="preserve">
</t>
        </r>
      </text>
    </comment>
  </commentList>
</comments>
</file>

<file path=xl/sharedStrings.xml><?xml version="1.0" encoding="utf-8"?>
<sst xmlns="http://schemas.openxmlformats.org/spreadsheetml/2006/main" count="4063" uniqueCount="808">
  <si>
    <t>PLANEACIÓN ESTRATÉGICA 2015 - 2019</t>
  </si>
  <si>
    <t>OBJETIVOS INSTITUCIONALES</t>
  </si>
  <si>
    <t>OBJETIVOS ESTRATÉGICOS POR UNIDAD ORGANIZATIVA</t>
  </si>
  <si>
    <t>Objetivo PQD</t>
  </si>
  <si>
    <t>Objetivos Institucionales</t>
  </si>
  <si>
    <t>Perspectiva</t>
  </si>
  <si>
    <t xml:space="preserve"> Objetivos Estratégicos</t>
  </si>
  <si>
    <t>Indicadores</t>
  </si>
  <si>
    <t>Fórmula  Cálculo</t>
  </si>
  <si>
    <t>Unidad de Medida</t>
  </si>
  <si>
    <t>CÓD.</t>
  </si>
  <si>
    <t>Nombre</t>
  </si>
  <si>
    <t>Nombre de los Objetivos Estratégicos</t>
  </si>
  <si>
    <t xml:space="preserve">% Relevancia </t>
  </si>
  <si>
    <t>Nombre del Indicador</t>
  </si>
  <si>
    <t>Tipo</t>
  </si>
  <si>
    <t>% Relevancia</t>
  </si>
  <si>
    <t>Código</t>
  </si>
  <si>
    <t>Objetivo 5. Acelerar el tránsito hacia una sociedad equitativa e incluyente.</t>
  </si>
  <si>
    <t>Contribuir al desarrollo social del país, Expansión  comercial a nivel nacional y Diversificar e innovar en juegos de azar.</t>
  </si>
  <si>
    <t>Impacto Financiero y Social   (35%)</t>
  </si>
  <si>
    <t xml:space="preserve">Incrementar las utilidades de operación de forma sostenible. </t>
  </si>
  <si>
    <t>10101</t>
  </si>
  <si>
    <t>Incremento de utilidades en relación al ejercicio anterior</t>
  </si>
  <si>
    <t>KRI</t>
  </si>
  <si>
    <t>UFI-02</t>
  </si>
  <si>
    <t>Elaborar y presentar Informes Financieros.</t>
  </si>
  <si>
    <t>UFI-0201</t>
  </si>
  <si>
    <t>US$</t>
  </si>
  <si>
    <t>Administrar de forma eficiente los recursos.</t>
  </si>
  <si>
    <t>10201</t>
  </si>
  <si>
    <t>ROS (Rentabilidad sobre las ventas)</t>
  </si>
  <si>
    <t>UFI-01</t>
  </si>
  <si>
    <t>Administrar eficientemente los recursos financieros de la LNB, cumpliendo con las normas establecidas.</t>
  </si>
  <si>
    <t>UFI-0101</t>
  </si>
  <si>
    <t>10202</t>
  </si>
  <si>
    <t>ROA (Utilidad sobre activo total)</t>
  </si>
  <si>
    <t>10203</t>
  </si>
  <si>
    <t>Ahorro en costos operativos</t>
  </si>
  <si>
    <t>AIN-01</t>
  </si>
  <si>
    <t>AIN-0101</t>
  </si>
  <si>
    <t>Número de exámenes realizados</t>
  </si>
  <si>
    <t>Cantidad</t>
  </si>
  <si>
    <t>Incrementar el aporte y la cobertura a la contribución social al Estado.</t>
  </si>
  <si>
    <t>10301</t>
  </si>
  <si>
    <t>Porcentaje de contribución al desarrollo social.</t>
  </si>
  <si>
    <t>GOT-05</t>
  </si>
  <si>
    <t>Aportar al desarrollo social a través del programa de Lotería en Acción.</t>
  </si>
  <si>
    <t>GOT-0501</t>
  </si>
  <si>
    <t>Número de instituciones beneficiadas</t>
  </si>
  <si>
    <t>10302</t>
  </si>
  <si>
    <t>GOT-0502</t>
  </si>
  <si>
    <t>Clientes (25%)</t>
  </si>
  <si>
    <t>20101</t>
  </si>
  <si>
    <t>Porcentaje de satisfacción del cliente sobre la accesibilidad de los productos.</t>
  </si>
  <si>
    <t>GCO-04</t>
  </si>
  <si>
    <t>Realizar estudios y sondeo de mercado.</t>
  </si>
  <si>
    <t>GCO-0401</t>
  </si>
  <si>
    <t>Número de estudios realizados</t>
  </si>
  <si>
    <t>20102</t>
  </si>
  <si>
    <t xml:space="preserve">Porcentaje de  aceptación de  juegos de azar </t>
  </si>
  <si>
    <t>20201</t>
  </si>
  <si>
    <t>Nivel de compra.</t>
  </si>
  <si>
    <t>20202</t>
  </si>
  <si>
    <t>Porcentaje de avance en el desarrollo de cultura de juego.</t>
  </si>
  <si>
    <t>20301</t>
  </si>
  <si>
    <t>Percepción de la imagen de la ciudadanía</t>
  </si>
  <si>
    <t>20302</t>
  </si>
  <si>
    <t>Nivel de satisfacción de vendedores y consumidores finales.</t>
  </si>
  <si>
    <t>Número de consumidores potenciales convertidos a consumidor final</t>
  </si>
  <si>
    <t>Procesos Internos (20%)</t>
  </si>
  <si>
    <t>Gestionar las reformas del marco regulatorio de la LNB.</t>
  </si>
  <si>
    <t>30101</t>
  </si>
  <si>
    <t>UTL-01</t>
  </si>
  <si>
    <t>Seguimiento a reformas a Ley Orgánica y Reglamento de la LNB.</t>
  </si>
  <si>
    <t>UTL-0101</t>
  </si>
  <si>
    <t>(% ejecutado/% programado)*100</t>
  </si>
  <si>
    <t>Porcentaje</t>
  </si>
  <si>
    <t>Mejorar los procesos para aumentar los resultados de la LNB.</t>
  </si>
  <si>
    <t>30201</t>
  </si>
  <si>
    <t xml:space="preserve">Porcentaje de avance en la mejora de los procesos de LNB. </t>
  </si>
  <si>
    <t>KPI</t>
  </si>
  <si>
    <t>UPE-01</t>
  </si>
  <si>
    <t>Ordenar y documentar los procesos/subprocesos de la LNB.</t>
  </si>
  <si>
    <t>UPE-0101</t>
  </si>
  <si>
    <t>Porcentaje de avance en el ordenamiento y documentación de los procesos.</t>
  </si>
  <si>
    <t>(%Ejecutado/%
Programado)*100</t>
  </si>
  <si>
    <t>UPE-02</t>
  </si>
  <si>
    <t>Sistematizar el Seguimiento y evaluación de la planificación  institucional.</t>
  </si>
  <si>
    <t>UPE-0201</t>
  </si>
  <si>
    <t>Incrementar los niveles de ventas de productos de Lotería.</t>
  </si>
  <si>
    <t>30301</t>
  </si>
  <si>
    <t>GCO-05</t>
  </si>
  <si>
    <t>Lograr la meta de venta mensual de productos de Lotería.</t>
  </si>
  <si>
    <t>GCO-0501</t>
  </si>
  <si>
    <t>(% de venta ejecutado/% de venta programado)*100</t>
  </si>
  <si>
    <t>% de cumplimiento de venta</t>
  </si>
  <si>
    <t>GCO-0502</t>
  </si>
  <si>
    <t>GCO-06</t>
  </si>
  <si>
    <t>GCO-0601</t>
  </si>
  <si>
    <t>Número de promociones implementadas para Vendedores</t>
  </si>
  <si>
    <t>Número de promociones implementadas</t>
  </si>
  <si>
    <t>GCO-07</t>
  </si>
  <si>
    <t>GCO-0701</t>
  </si>
  <si>
    <t>Número de activaciones de productos lanzadas.</t>
  </si>
  <si>
    <t>Número de activaciones ejecutadas</t>
  </si>
  <si>
    <t>GOT-06</t>
  </si>
  <si>
    <t>Actualizar  normativa  para la Administración de los créditos</t>
  </si>
  <si>
    <t>GOT-0601</t>
  </si>
  <si>
    <t xml:space="preserve">Normativa de crédito autorizada </t>
  </si>
  <si>
    <t>Desarrollo contínuo e innovación  de juegos de azar.</t>
  </si>
  <si>
    <t>30401</t>
  </si>
  <si>
    <t>GCO-01</t>
  </si>
  <si>
    <t>Desarrollar  propuesta de nuevos juegos de Lotería, bajo la legislación actual.</t>
  </si>
  <si>
    <t>GCO-0101</t>
  </si>
  <si>
    <t>Número de Nuevos  juegos de Lotería.</t>
  </si>
  <si>
    <t>Propuesta nuevos Juegos autorizados</t>
  </si>
  <si>
    <t>GCO-02</t>
  </si>
  <si>
    <t xml:space="preserve">Mejorar los productos de Lotería existentes. </t>
  </si>
  <si>
    <t>GCO-0201</t>
  </si>
  <si>
    <t>GCO-0202</t>
  </si>
  <si>
    <t>Mejoras  a   productos Lotería Instantánea autorizados.</t>
  </si>
  <si>
    <t>Expandir la cobertura de los Productos de Lotería a nivel Nacional.</t>
  </si>
  <si>
    <t>30501</t>
  </si>
  <si>
    <t>Número de Canales Aprobados.</t>
  </si>
  <si>
    <t>GCO-09</t>
  </si>
  <si>
    <t>Incrementar la fuerza de ventas</t>
  </si>
  <si>
    <t>GCO-0901</t>
  </si>
  <si>
    <t># de nuevos Canales aperturados</t>
  </si>
  <si>
    <t>30502</t>
  </si>
  <si>
    <t>Número de  nuevos  puntos de ventas aperturados.</t>
  </si>
  <si>
    <t>GCO-0903</t>
  </si>
  <si>
    <t>Número de Nuevos puntos de venta abiertos</t>
  </si>
  <si>
    <t>PV a aperturados</t>
  </si>
  <si>
    <t>30503</t>
  </si>
  <si>
    <t>Número de nuevos agentes vendedores reclutados.</t>
  </si>
  <si>
    <t>GCO-0902</t>
  </si>
  <si>
    <t>Número de nuevos agentes vendedores inscritos</t>
  </si>
  <si>
    <t>30504</t>
  </si>
  <si>
    <t>Número de Agencias Aperturadas.</t>
  </si>
  <si>
    <t>GCO-10</t>
  </si>
  <si>
    <t xml:space="preserve">Ampliar la cobertura de puntos de venta en todo el país </t>
  </si>
  <si>
    <t>GCO-1001</t>
  </si>
  <si>
    <t>agencias inauguradas</t>
  </si>
  <si>
    <t>30601</t>
  </si>
  <si>
    <t>Sostenimiento de Canales existentes</t>
  </si>
  <si>
    <t>GCO-08</t>
  </si>
  <si>
    <t>Implementar mecanismos  para mejorar  el servicio al cliente en agencias, puntos de venta y kioscos.</t>
  </si>
  <si>
    <t>GCO-0801</t>
  </si>
  <si>
    <t>Número de acciones  ejecutadas</t>
  </si>
  <si>
    <t xml:space="preserve">Número de acciones realizadas </t>
  </si>
  <si>
    <t>30602</t>
  </si>
  <si>
    <t>Sostenimiento de  puntos de ventas aperturados</t>
  </si>
  <si>
    <t>30603</t>
  </si>
  <si>
    <t>Número de acciones  desarrolladas.</t>
  </si>
  <si>
    <t>30701</t>
  </si>
  <si>
    <t>Número de proyectos ejecutados.</t>
  </si>
  <si>
    <t>COM-01</t>
  </si>
  <si>
    <t>COM-0101</t>
  </si>
  <si>
    <t>Campañas Publicitaras realizadas</t>
  </si>
  <si>
    <t>COM-02</t>
  </si>
  <si>
    <t>COM-0201</t>
  </si>
  <si>
    <t>Porcentaje de avance  en la  implementación del sistema de comunicación interna y externa</t>
  </si>
  <si>
    <t>(% ejecutado/ % programado)x100</t>
  </si>
  <si>
    <t>% de avance</t>
  </si>
  <si>
    <t>30702</t>
  </si>
  <si>
    <t>GCO-03</t>
  </si>
  <si>
    <t>Realizar campañas publicitarias  para promoción de productos de lotería.</t>
  </si>
  <si>
    <t>GCO-0301</t>
  </si>
  <si>
    <t>Campañas publicitaras ejecutadas</t>
  </si>
  <si>
    <t>GCO-0302</t>
  </si>
  <si>
    <t>Número  de Campañas Publicitarias de Lotin lanzadas.</t>
  </si>
  <si>
    <t>Modernizar los sistemas informáticos de la LNB</t>
  </si>
  <si>
    <t>30801</t>
  </si>
  <si>
    <t>Grado de avance en la actualización del equipo</t>
  </si>
  <si>
    <t>GOT-01</t>
  </si>
  <si>
    <t>GOT-0102</t>
  </si>
  <si>
    <t>30802</t>
  </si>
  <si>
    <t>Grado de avance en la actualización del Software.</t>
  </si>
  <si>
    <t>GOT-0101</t>
  </si>
  <si>
    <t>GOT-0103</t>
  </si>
  <si>
    <t>Efectividad contra  intentos de intrusión a los sistemas de la LNB.</t>
  </si>
  <si>
    <t>Porcentaje efectividad</t>
  </si>
  <si>
    <t>GOT-0104</t>
  </si>
  <si>
    <t xml:space="preserve">Efectividad contra infecciones a los sistemas de la LNB </t>
  </si>
  <si>
    <t>GOT-02</t>
  </si>
  <si>
    <t>Implementar sitio de contingencia de TI</t>
  </si>
  <si>
    <t>GOT-0201</t>
  </si>
  <si>
    <t>GOT-03</t>
  </si>
  <si>
    <t>GOT-0301</t>
  </si>
  <si>
    <t>GOT-04</t>
  </si>
  <si>
    <t>GOT-0401</t>
  </si>
  <si>
    <t>Desarrollar acciones en el marco de la política de participación ciudadana para transparentar la gestión pública de la LNB.</t>
  </si>
  <si>
    <t>30901</t>
  </si>
  <si>
    <t>Número de acciones realizadas</t>
  </si>
  <si>
    <t>GRH-02</t>
  </si>
  <si>
    <t>GRH-0201</t>
  </si>
  <si>
    <t>Número de acciones ejecutadas</t>
  </si>
  <si>
    <t>GCO-12</t>
  </si>
  <si>
    <t>Implementar espacios y  mecanismos de participación  a los agentes vendedores de productos  de lotería.</t>
  </si>
  <si>
    <t>GCO-1201</t>
  </si>
  <si>
    <t>Número de reuniones efectuadas</t>
  </si>
  <si>
    <t>Reuniones efectuadas</t>
  </si>
  <si>
    <t>GCO-13</t>
  </si>
  <si>
    <t>Participar activamente en los Gabinetes de Gestión Departamental.</t>
  </si>
  <si>
    <t>GCO-1301</t>
  </si>
  <si>
    <t>Número de reuniones asistidas</t>
  </si>
  <si>
    <t>Reuniones asistidas</t>
  </si>
  <si>
    <t>GCO-14</t>
  </si>
  <si>
    <t>Promover  el emprendedurismo  a través de la  venta de productos de lotería</t>
  </si>
  <si>
    <t>GCO-1401</t>
  </si>
  <si>
    <t>UAIP-01</t>
  </si>
  <si>
    <t>Proporcionar la información pública y atención de quejas/avisos.</t>
  </si>
  <si>
    <t>UAIP-0101</t>
  </si>
  <si>
    <t>Número de quejas y avisos atendidas.</t>
  </si>
  <si>
    <t>Número de quejas y avisos atendidas</t>
  </si>
  <si>
    <t>UAIP-0102</t>
  </si>
  <si>
    <t xml:space="preserve">Tiempo de respuesta a las Solicitudes. </t>
  </si>
  <si>
    <t>(Tiempo de Respuesta/ Tiempo Requerido) x 100%</t>
  </si>
  <si>
    <t>Número de días de tiempo de respuestas</t>
  </si>
  <si>
    <t>UAIP-0103</t>
  </si>
  <si>
    <t>Porcentaje  de  avance en el cumplimiento de estándares en portal de transparencia.</t>
  </si>
  <si>
    <t>(% de avance obtenido/% de avance proyectado)x100%</t>
  </si>
  <si>
    <t>% de cumplimiento</t>
  </si>
  <si>
    <t>UAIP-02</t>
  </si>
  <si>
    <t>Efectuar la Rendición de Cuentas de la gestión de la LNB.</t>
  </si>
  <si>
    <t>UAIP-0201</t>
  </si>
  <si>
    <t>Porcentaje de avance en la   Rendición de Cuentas.</t>
  </si>
  <si>
    <t>(Porcentaje ejecutado/porcentaje Programado) x100</t>
  </si>
  <si>
    <t>% de Avance</t>
  </si>
  <si>
    <t>COM-03</t>
  </si>
  <si>
    <t>COM-0301</t>
  </si>
  <si>
    <t>Divulgar los mecanismos y espacios de participación ciudadana y las formas de acceder a ellos.</t>
  </si>
  <si>
    <t>Porcentaje de avance  en  la divulgación de mecanismos de participación ciudadana.</t>
  </si>
  <si>
    <t>%ejecutado/%programado)*100</t>
  </si>
  <si>
    <t>%  de Avances</t>
  </si>
  <si>
    <t>GAD-01</t>
  </si>
  <si>
    <t>Realizar sorteos  itinerantes  en lugares públicos para acércanos a la ciudadanía en general.</t>
  </si>
  <si>
    <t>GAD-0101</t>
  </si>
  <si>
    <t>Número de ciudadanos  asistentes  por sorteo.</t>
  </si>
  <si>
    <t>Número de personas asistentes</t>
  </si>
  <si>
    <t>GAD-0102</t>
  </si>
  <si>
    <t>GAD-02</t>
  </si>
  <si>
    <t>Administrar  la Gestión Documental y archivo de la LNB</t>
  </si>
  <si>
    <t>GAD-0201</t>
  </si>
  <si>
    <t>Porcentaje de avance en la implementación de la Gestión Documental y archivo.</t>
  </si>
  <si>
    <t>Aprendizaje y Desarrollo del 
Recurso Humano (20%)</t>
  </si>
  <si>
    <t>Potenciar el talento humano a través de la formación continua e inclusiva.</t>
  </si>
  <si>
    <t>40101</t>
  </si>
  <si>
    <t xml:space="preserve">Porcentaje de empleados capacitados </t>
  </si>
  <si>
    <t>GRH-01</t>
  </si>
  <si>
    <t>GRH-0101</t>
  </si>
  <si>
    <t>40201</t>
  </si>
  <si>
    <t xml:space="preserve">Porcentaje de avance en la satisfacción del recurso humano sobre el clima y práctica de valores. </t>
  </si>
  <si>
    <t>GRH-03</t>
  </si>
  <si>
    <t>GRH-0301</t>
  </si>
  <si>
    <t xml:space="preserve">% de satisfacción </t>
  </si>
  <si>
    <t>40202</t>
  </si>
  <si>
    <t>Generar una cultura y conocimiento en la industria del juego.</t>
  </si>
  <si>
    <t>40301</t>
  </si>
  <si>
    <t>Grado de avance en la cultura de industria  juego de azar.</t>
  </si>
  <si>
    <t>GCO-11</t>
  </si>
  <si>
    <t>Desarrollar acciones  para dar a conocer  los juegos de azar</t>
  </si>
  <si>
    <t>GCO-1101</t>
  </si>
  <si>
    <t>Gerencia Comercial</t>
  </si>
  <si>
    <t xml:space="preserve">%  de Avance </t>
  </si>
  <si>
    <t>Avance Cualitativo</t>
  </si>
  <si>
    <t>Comentarios</t>
  </si>
  <si>
    <t>Programado Trimestre I</t>
  </si>
  <si>
    <t>Ejecutado Trimestre I</t>
  </si>
  <si>
    <t>Ejecutado</t>
  </si>
  <si>
    <t>No.</t>
  </si>
  <si>
    <t>Unidades Organizativas</t>
  </si>
  <si>
    <t>Programado</t>
  </si>
  <si>
    <t>Auditoria Interna</t>
  </si>
  <si>
    <t>UTL</t>
  </si>
  <si>
    <t>UAIP</t>
  </si>
  <si>
    <t>UACI</t>
  </si>
  <si>
    <t>UFI</t>
  </si>
  <si>
    <t>Gerencia Administrativa</t>
  </si>
  <si>
    <t xml:space="preserve">promedio de cumplimiento </t>
  </si>
  <si>
    <t>Motivar a los vendedores y consumidor final a la compra de los productos de Lotería y desarrollar cultura de juego.</t>
  </si>
  <si>
    <t>Posicionar en la opinión pública una imagen de credibilidad y confianza.</t>
  </si>
  <si>
    <t>Acercar los productos de lotería al consumidor final.</t>
  </si>
  <si>
    <t>Fidelizar nuestros vendedores, canales,  puntos de venta y consumidores finales.</t>
  </si>
  <si>
    <t>Fortalecer la imagen institucional y comercial.</t>
  </si>
  <si>
    <t>Promover la Práctica de Valores,  clima laboral y una  actitud de compromiso del personal con la institución.</t>
  </si>
  <si>
    <t>Número de personas beneficiadas.</t>
  </si>
  <si>
    <t>Nivel de avance de la aprobación de las reformas del marco legal.</t>
  </si>
  <si>
    <t>Porcentaje de incrementos en ventas de productos de lotería.</t>
  </si>
  <si>
    <t>Porcentaje de efectividad de los nuevos juegos lanzados e innovados.</t>
  </si>
  <si>
    <t>Efectividad en campañas publicitarias.</t>
  </si>
  <si>
    <t>------</t>
  </si>
  <si>
    <t>-------</t>
  </si>
  <si>
    <t>-----</t>
  </si>
  <si>
    <t>Indicador no programado al trimestre informado.</t>
  </si>
  <si>
    <t>0% de avance en el  trimestre informado.</t>
  </si>
  <si>
    <t>0% de avance al trimestre que se informa.</t>
  </si>
  <si>
    <t>GAD-0202</t>
  </si>
  <si>
    <t>De enero a diciembre  se tiene un promedio de venta del 55.82%.</t>
  </si>
  <si>
    <t>*</t>
  </si>
  <si>
    <t xml:space="preserve">El % de cumplimento del 43.67%  es la diferencia de lo programado y ejecutado del segundo y tercer trimestre, ya que el informe del segundo trimestre fue remitido posterior a la fecha de presentado el informe del segundo trimestre y su ejecución fue incorporada en el informe de seguimiento del tercer trimestre. </t>
  </si>
  <si>
    <t>TRIMESTRE QUE SE INFORMA: PRIMER TRIMESTRE DE 2018</t>
  </si>
  <si>
    <t xml:space="preserve">Resultados: Primer Trimestre 2018 </t>
  </si>
  <si>
    <t xml:space="preserve">Acumulado al:  Primer Trimestre 2018 </t>
  </si>
  <si>
    <t>(Rentabilidad Obtenida/Rentabilidad Programada)*100</t>
  </si>
  <si>
    <t>Utilidades generadas por venta de productos (LOTRA - LOTIN)</t>
  </si>
  <si>
    <t xml:space="preserve">Ingresos x ventas - Gastos Totales </t>
  </si>
  <si>
    <t>Verificar el cumplimiento de la PAA 2018 de la LNB.</t>
  </si>
  <si>
    <t>Número de personas beneficiadas con el programa en el 2018.</t>
  </si>
  <si>
    <t># de Instituciones beneficiadas /# de instituciones programadas</t>
  </si>
  <si>
    <t xml:space="preserve">Número de beneficiados </t>
  </si>
  <si>
    <t>Mantener en operación el  sistema comercial de la LNB</t>
  </si>
  <si>
    <t>Avance en la migración de base de datos del sistema comercial y sorteo LNB.</t>
  </si>
  <si>
    <t>% de avance de las actividades planificadas</t>
  </si>
  <si>
    <t>Avance en la migración de servidor de aplicaciones del sistema comercial y sorteo LNB.</t>
  </si>
  <si>
    <t>Avance en el reemplazo de equipo de almacenamiento SAN</t>
  </si>
  <si>
    <t>(Número intrusiones contenidas/ Números intentos de intrusión)*100</t>
  </si>
  <si>
    <t>GOT-0105</t>
  </si>
  <si>
    <t>(Número intentos de infección detenidos/Número total intentos de infección)*100</t>
  </si>
  <si>
    <t>Avance en la implementación del Sitio de contingencia  de TI</t>
  </si>
  <si>
    <t>Fortalecer la seguridad de la información de los sistemas LNB</t>
  </si>
  <si>
    <t>Automatizar  algunos procesos de las diferentes áreas</t>
  </si>
  <si>
    <t>Avance en la sistematización de procesos de apoy</t>
  </si>
  <si>
    <t>Fortalecer el programa de Lotería en Acción.</t>
  </si>
  <si>
    <t>Número de Instituciones beneficiadas /número de instituciones programadas</t>
  </si>
  <si>
    <t>GOT-07</t>
  </si>
  <si>
    <t>GOT-0701</t>
  </si>
  <si>
    <t>Normativa autorizada</t>
  </si>
  <si>
    <t>Número de personas beneficiadas con nuevo proyecto.</t>
  </si>
  <si>
    <t>Número de instituciones beneficiadas  durante el 2018.</t>
  </si>
  <si>
    <t>Rentabilidad sobre la disponibilidad.</t>
  </si>
  <si>
    <t>100% de funcionamiento del sorteo.</t>
  </si>
  <si>
    <t>(# de horas operando/# de horas fuera de funcionamiento del sorteo)*100%</t>
  </si>
  <si>
    <t>Porcentaje de avance en la implementación del Sistema Institucional de Archivo (SIA)</t>
  </si>
  <si>
    <t>Mantener capacitado al personal durante 2018, mediante la ejecución del plan anual de  Capacitación continuo e inclusivo.</t>
  </si>
  <si>
    <t>Número de Capacitaciones ejecutadas</t>
  </si>
  <si>
    <t>Capacitaciones ejecutadas/ Capacitaciones Programadas</t>
  </si>
  <si>
    <t xml:space="preserve">Ejecutar  capacitación sobre  servicio público </t>
  </si>
  <si>
    <t>Capacitaciones ejecutadas</t>
  </si>
  <si>
    <t xml:space="preserve">Ejecutar un plan de acciones orientadas a llevar a  75%, el Índice de satisfacción  interno respecto a la práctica de Valores y el clima laboral </t>
  </si>
  <si>
    <t xml:space="preserve">Índice de Satisfacción </t>
  </si>
  <si>
    <t>Índice de satisfacción 2017 vrs. Índice de satisfacción 2018</t>
  </si>
  <si>
    <t xml:space="preserve">% de cumplimiento </t>
  </si>
  <si>
    <t>Realizar  campañas publicitarias que mejoren la imagen institucional.</t>
  </si>
  <si>
    <t xml:space="preserve">Número de  campañas  Publicitarias realizadas.    </t>
  </si>
  <si>
    <t>Fortalecer  el sistema de comunicación que contribuya a la promoción de la imagen Institucional</t>
  </si>
  <si>
    <t>Mejoras  a productos de Lotería Tradicional autorizados.</t>
  </si>
  <si>
    <t>#de juegos mejorados e implementada</t>
  </si>
  <si>
    <t>#de juegos mejorados e implementadas</t>
  </si>
  <si>
    <t>Número de   Campañas Publicitarias de LOTRA lanzadas.</t>
  </si>
  <si>
    <t>Número de estudios  realizados</t>
  </si>
  <si>
    <t>70%   de Venta mensual de billetes de Loteria</t>
  </si>
  <si>
    <t>100%  de  venta mensual de libretas de LOTIN</t>
  </si>
  <si>
    <t>Realizar promociones para vendedores  para incentivar  las ventas</t>
  </si>
  <si>
    <t>Realizar  activaciones de productos en todo el territorio nacional orientadas a incentivar al consumidor final</t>
  </si>
  <si>
    <t>Número de nuevos Canales inaugurados</t>
  </si>
  <si>
    <t>Número de nuevas agencias inauguradas en el 2018</t>
  </si>
  <si>
    <t>Porcentaje de avance  en gestión realizadas.</t>
  </si>
  <si>
    <t>%Ejecutado/%
Programado)*100</t>
  </si>
  <si>
    <t>Porcentaje de avance en la implantación del sistema.</t>
  </si>
  <si>
    <t>Se ejecutaron 3 temas no programados pero necesarios para la Institución, estos son: Plan de Contingencias de Sistemas Informáticos a 2 empleados, Redacción de Informes a 2 empleados y se apoyo a la Comisión de Ética en la ejecución del tema Aspectos relacionados a la Ética Pública impartido a 20 empleados.</t>
  </si>
  <si>
    <t>Indicador no programado en el primer trimestre de 2018.</t>
  </si>
  <si>
    <t>Se envió a Presidencia Institucional informe sobre  examen al cumplimiento de la PAA, correspondiente al  cuarto    trimestre de 2017.</t>
  </si>
  <si>
    <t>Indicador no programado en el trimestre informado</t>
  </si>
  <si>
    <t>Actualmente, se esta analizando los resultados del estudio de mercado pero no se tiene el recurso de la Jefatura de Productos para agilizar el proceso de elaboración de propuesta.</t>
  </si>
  <si>
    <t>--------</t>
  </si>
  <si>
    <t>Indicador no programado al primer trimestre de 2018.</t>
  </si>
  <si>
    <t>Según informe, en  el primer   trimestre  la venta de LOTRA fue de 297,390 billetes equivalente al 56.11% de una emisión de 530,000 billetes.</t>
  </si>
  <si>
    <t>Indicador no programado al primer   trimestre de 2018.</t>
  </si>
  <si>
    <t>Según informe, en el primer  trimestre se reclutaron 23 nuevos agentes vendedores .</t>
  </si>
  <si>
    <t>Ya se tiene avance de negociaciones con el Banco Cuscatlán para hacer un convenio y poder aperturar en Santa Rosa  de Lima y Colonia medica a espera de autorización.</t>
  </si>
  <si>
    <t>En el primer  trimestre se  inauguraron 3 nuevos puntos de venta: 
1. San José Guayabal, 13/Febrero (Portal frente al parque central) 
2. San Salvador, 02/Marzo (Despensa de Don Juan La Cima)
3. San Salvador, 08/Marzo (División Técnica y Científica P.N.C)</t>
  </si>
  <si>
    <t>Durante el primer  trimestre del 2018,  no se recibieron  quejas y denuncias ciudadanas.</t>
  </si>
  <si>
    <t>0% de avance en el primer trimestre.</t>
  </si>
  <si>
    <t>Se programarán reuniones en el mes de Mayo, con el fin de presentar al nuevo titular y difundir las acciones a implementar.</t>
  </si>
  <si>
    <t xml:space="preserve">0% de avance en el primer  trimestre. </t>
  </si>
  <si>
    <t>Se han realizado en total 4 reuniones para proponerles un modelo de negocio, con un nicho de mercado diferente a través de estos potenciales vendedores Veteranos y Excombatientes, quienes se han visto interesado.</t>
  </si>
  <si>
    <t>Avance en la implementación de  Solución de firewall y auditoría de base de datos del sistema comercial y sorteo.</t>
  </si>
  <si>
    <t>7 días de tiempo promedio de respuesta a las solicitudes de la ciudadanía en el primer  trimestre de 2018.</t>
  </si>
  <si>
    <t>Según informe, en el mes de febrero de 2018, se lanzo Campaña Publicitaria de "Copa LOTIN" del juego 129,  en diferentes medios masivos y un impulso en redes sociales, atendiendo recomendación del estudio de mercado.</t>
  </si>
  <si>
    <t>Red perimetral y email  con 100% de efectividad contra ataques.</t>
  </si>
  <si>
    <t>Con la nueva solución adquirida (Cylance) se ha monitoreado y controlado en un 100% los intentos de infección durante este trimestre.</t>
  </si>
  <si>
    <t>Se realizó investigación sobre servicios de colocación y hostig. Se ha comenzado sondeo de precios de estos servicios, licenciamientos, suscripciones y harwdware. Se avanzó en el documento de alternativas que se enviará a GOT en el mes de abril.</t>
  </si>
  <si>
    <t>Indicador no programado al  primer   trimestre de 2018.</t>
  </si>
  <si>
    <t>Se aprobó la automatización de: Bodega administrativa, consulta de marcaciones, permisos de personal y órdenes médicas.</t>
  </si>
  <si>
    <t>0% de avance en el primer  trimestre.</t>
  </si>
  <si>
    <t xml:space="preserve">99.98 % en  promedio de funcionamiento de los sorteos en primer trimestre de 2018. 
</t>
  </si>
  <si>
    <t>Durante el primer trimestre de 2018 se presentaron 2 fallas: 
En el sorteo No. 96, una falla en el cable de audio y en la consola de sonido se apago repentinamente durante el sorteo.</t>
  </si>
  <si>
    <t xml:space="preserve">-70% de elaboración del índice de organismo.
-30% de avance en la elaboración del manual de gestión documental y archivo.
-Levantamiento de cinco actas de entrega de información entre funcionarios y empleados.   </t>
  </si>
  <si>
    <t>Levantamiento e identificación de documentos generados en unidades organizativas:
-Se elaboraron los 32 índices documentales de todas las unidades organizativas, según sistema ORFUAS.
-Se elaboró el índice documental institucional y se codifico según sistema ORFUAS.
-90% de elaboración de los repertorios de funciones (31).</t>
  </si>
  <si>
    <t>-5 jornadas de identificación y organización de documentos con apoyo de las unidades organizativas que forman el fondo de doc. acumulado; ubicado en  edificios San Salvador (535 cajas) y excatastro (320 cajas).  
20% de avance en la elaboración de manual de archivo.</t>
  </si>
  <si>
    <t>Se dio 3 capacitaciones al personal:  Una sobre la  implementación de archivos de gestión periféricos a encargados de agencias y (2) capacitaciones de procesos archivísticos a encargados de archivos (Central  y Especializado).  
-Se elaboró inventario de documentos que forman el archivo especializado,
-Se elaboró inventario general de documentos  que se encuentran en las diferentes unidades organizativas, que forman parte del fondo documental acumulado.</t>
  </si>
  <si>
    <t>Según informe, en el primer trimestre de 2018,  se obtuvo una utilidad  de operación en LOTRA de US$401,906.00)</t>
  </si>
  <si>
    <t>La Unidad de Comunicaciones, RR.PP. y publicidad, no presentó el informe correspondiente al primer  trimestre de 2018.</t>
  </si>
  <si>
    <t xml:space="preserve">Según informe, en el  primer   trimestre  la venta de LOTIN fue de 22,220  libretas equivalente. </t>
  </si>
  <si>
    <t>Se obtuvo una rentabilidad sobre los depósitos de US$40,305.00 correspondiente a los meses de  enero a marzo de 2018.</t>
  </si>
  <si>
    <t>En el período de enero a marzo se han realizado promociones en radio "PEGALE EL NUMERO DEL POZO", en programas en vivo para promover la venta.</t>
  </si>
  <si>
    <t xml:space="preserve">Según informe,  se han realizado 10 activaciones de marca, Centro Comerciales, cine Mark , Multicinema, puntos de venta como - farmacias Brasil , Wester Union, farmacias Camila -  nuevos punto de Vta. aperturados como San José Guayabal, Despenza Cima, División Científica de PNC. </t>
  </si>
  <si>
    <t>Se están analizando las variables y se ha estimado trabajar en conjunto con los agentes vendedores para socializar el tema de estructuras de premios y que apoyen la medida.</t>
  </si>
  <si>
    <t xml:space="preserve">Se ha innovado en una nueva estructura de premios con emisiones de 5,000 y 10,000 libretas así como de $1 ;debido al éxito con los juegos anteriores y se esta a la espera de la autorización del Ministerio de Hacienda.. </t>
  </si>
  <si>
    <t xml:space="preserve">Según informe en el primer trimestre se obtuvieron 2  nuevos canales,   Farmacias Camila y Todoticket </t>
  </si>
  <si>
    <t>Se utilizara el buzón de sugerencias, colocado en cada una de las trece agencias de LNB y se estará recopilando la información por el departamento de mercadeo e informando en reuniones con el personal de agencias mensualmente.</t>
  </si>
  <si>
    <t>Según informe el avance corresponde a se realizó investigación y sondeo de precios con la marca HP para buscar un reemplazo de SAN. Se preparará especificaciones técnicas para la compra en el mes de abril.</t>
  </si>
  <si>
    <t xml:space="preserve">En el plan de capacitación 2018 autorizado, está incluido el tema Servicio Público requerido por Casa Presidencial para impartirlo al personal de la LNB. </t>
  </si>
  <si>
    <t>No se pudo asistir por parte de los encargados de agencias ya que son convocados los días miércoles que son de mayor operaciones en agencias.</t>
  </si>
  <si>
    <t>Durante el 1er Trimestre del 2018, Se recibieron 27 Requerimiento: 1  a  Presidencia, 1 a  RRHH, 1 a la UACI, 4 a la UFI, 7 a la Gerencia de Operaciones y Tecnología, 1 a la Gerencia Comercial, 2 a la Gerencia General,  4 a la UAIP, 2 a la Unidad de Planificación, 1 a la UTL, 2 a la Gerencia Administrativa y 1 a la Unidad de Comunicaciones, se obtuvieron 5708 visitas en el Portal de Transparencia Institucional y una Participación Ciudadana de 305, Presencial y Telefónica.</t>
  </si>
  <si>
    <t>Durante el primer trimestre   se obtuvo una participación ciudadana de  851  personas asistentes a los sorteos:
Enero: 204,
Febrero: 434, y
Marzo: 213.</t>
  </si>
  <si>
    <t>30 empleados capacitados
En el primer trimestre 2018, se ejecutaron 5 temas de acuerdo a lo programado en el plan de capacitación:
-Valuación de Puestos a 2 empleados,  
-Diplomado en Archivística a 1 empleada, 
-Estudio de nueva ley de jurisdicción a 1 empleada, 
-Gestión de riesgos ISO 31000 a 7 empleados, 
-Instalaciones Eléctricas Interiores a 1 empleado.</t>
  </si>
  <si>
    <t>Se presentó para autorización de  la Dirección Superior el 21 de diciembre de 2017, el plan de acciones de mejora a clima organizacional.  
Se divulgó los resultados de la Evaluación de Clima Organizacional y el plan de acciones de mejora a ejecutar en 2018, en el mes de febrero 2018 a todos los gerentes y jefes de unidades asesoras. De enero a marzo se han ejecutado 6 acciones programadas que son:2 talleres sobre cambio de actitud en el trabajo a 38 empleados; un taller sobre disciplina laboral a 18 empleados gerentes, jefes de unidades y jefes de departamento.</t>
  </si>
  <si>
    <t>Se han generado documentos informativos para dar a conocer a los agentes vendedores y público en general los juegos que se han desarrollado o están saliendo al mercado.</t>
  </si>
  <si>
    <t>El 28 de Febrero de 2018 se publicó un 95% de la Información oficiosa. Pendiente de actualizar las Guías de Juegos y las Actas de Junta Directiva desde agosto 2017 al 28 de febrero de 2018.</t>
  </si>
  <si>
    <t>El Sistema de Transparencia Pública, generó  2 Informes, en el 1er. Trimestre,  se remitió el Informe Anual al IAIP y a CAPRES.</t>
  </si>
  <si>
    <t>TRIMESTRE QUE SE INFORMA: SEGUNDO TRIMESTRE DE 2018</t>
  </si>
  <si>
    <t>Programado Trimestre II</t>
  </si>
  <si>
    <t>Ejecutado Trimestre II</t>
  </si>
  <si>
    <t>En el segundo   trimestre del 2018,  no se recibieron  quejas y denuncias ciudadanas.</t>
  </si>
  <si>
    <t>8 días de tiempo promedio de respuesta a las solicitudes de la ciudadanía en el segundo   trimestre de 2018.</t>
  </si>
  <si>
    <t>Durante el 1er Trimestre del 2018, Se recibieron  9 Requerimiento: 3  a  Presidencia, 2 a  RRHH, 3 a la UFI y 1 a la Gerencia Comercial, se obtuvieron 3501 visitas en el Portal de Transparencia Institucional y una Participación Ciudadana de 355, Presencial y Telefónica.</t>
  </si>
  <si>
    <t xml:space="preserve">Al 30 de junio de 2018 se público un 96% de la Información oficiosa, pendiente de actualizar las actas de Junta Directiva desde 17 de abril al 30 de Junio, falta el POA 2018. </t>
  </si>
  <si>
    <t>El Sistema de Transparencia Pública, generó  1 Informe, en el segundo trimestre,  se remitió a  IAIP.</t>
  </si>
  <si>
    <t>Pendiente de autorización el Informe por parte de Junta directiva</t>
  </si>
  <si>
    <t>Se presentó el informe de Rendición de cuentas  a Presidencia institucional para  revisión correspondiente.</t>
  </si>
  <si>
    <t>70%   de Venta mensual de billetes de Lotería</t>
  </si>
  <si>
    <t>Según informe,  se ha retomado el tema de la reforma de Ley de la LNB con la Secretaria Técnica de La Presidencia. Con relación al proyecto de reforma del Reglamento de Ley, no se ha obtenido respuesta del Ministerio de Hacienda.</t>
  </si>
  <si>
    <t>Se envió a Presidencia Institucional informe sobre  examen al cumplimiento de la PAA, correspondiente al primer     trimestre de 2018.</t>
  </si>
  <si>
    <t>A demás, se ejecutaron los siguientes temas: Ergonomía, Riesgo Eléctrico y Puesta a Tierra para 1 dmpleado de Gerencia Administiva; Técnicas de Documentación y Manejo de Archivo para 4 empleados del Departamento de Gestión Documental y de la Unidad de Planificacion;  curso de 48 horas sobre Seguridad y Salud Ocupacional para 2 empleados del Comite y del Sistema de Emergencia; así mismo se brindo una replica sobre cl curso Ley de lo Contesioso Administrativo a 29 empleados de diferentes áreas.</t>
  </si>
  <si>
    <t>En el segundo trimestre se ejecutaron 5 temas de capacitación: Oratoria y Retórica a 2 empleados de Comunicaciones; Primero Auxlios a 17 empleados de diferentes áreas; Procesos de Auditoría y Gestión Pública, basada en indicadores, a 3 empleados de auditoría; Actualizacion de NIIF y Análsis Financiero para 7 empleados de la UFI y Auditoría Interna; Técnicas de Negociación y Cierre de Ventas para 4 empleados del Departamento de Ventas y Canales.</t>
  </si>
  <si>
    <t>Indicador no programado al segundo trimestre de 2018.</t>
  </si>
  <si>
    <t>Actividades realizadas: 
Se diseñó y divulgó a todo el personal 2 boletines sobre Compromiso; se ejecutó el taller de Relaciones Interpersonales capacitando a 35 empleados; se han desarrollado 2 talleres sobre derechos y deberes de los empleados con 32 empleados  de gerencia comercial y gerencia administrativa. En respuesta a acciones para promover un clima laboral agradabe, la Gerencia Administrativa reportó haber desarrollado en el mes de abril una capacitación sobre creatividad e innovación a 20 empleados de dicha gerencia. Se remitieron 7 felicitaciones al personal entre cumpleañeros, día de la secretaria, día de  la madre, día del padre, día del contador, día del abogado y día del ordenanza. También, se celebró con un desayuno y refrigerios el día de la secretaria , el día de la madre y el día del padre con el 100% de los empleados.</t>
  </si>
  <si>
    <t>Se gestionó con la Secretaria de Transparencia para que se desarrolle la capacitación en el tema, pero se está pediente de recibicir la confirmación de la fecha en que se ejecutará.</t>
  </si>
  <si>
    <t>- Elaboración de Diagramas de Flujo Documentales: Expediente de préstamos personales, Expediente de solicitud de acceso a la información pública.</t>
  </si>
  <si>
    <t>Al avance de este objetivo corresponde a las acciones siguientes:
-Se tiene un 30% de avance en el Manual de gestión de riesgos. 
-Elaboración el Manual de gestión y trámite de correspondencia (incluidos formatos de: memorando, nota interna, circular, nota externa, nota externa oficial) (50%)
- Elaboración de documentos para el Índice Legislativo: Instrucciones, Formato para Índice Legislativo, Clasificador de ámbitos funcionales, Cuadro de áreas organizativas.</t>
  </si>
  <si>
    <t>0% de avance en este indicador</t>
  </si>
  <si>
    <t>No se ha solicitado el requerimiento a la GOT por parrte del jefe del área.</t>
  </si>
  <si>
    <t>Programa suspendido temporalmente de acuerdo autorizado por JD Acta 3021 punto VIII.8.1 celebrada el 6 de marzo 2018</t>
  </si>
  <si>
    <t>La UFI, no presentó el informe correspondiente al segundo   trimestre de 2018.</t>
  </si>
  <si>
    <t>La Gerencia Comercial,  no presentó el informe correspondiente al segundo   trimestre de 2018.</t>
  </si>
  <si>
    <t xml:space="preserve">Indicador no programado en el trimestre que se informa. </t>
  </si>
  <si>
    <t>Actualmente se esta trabajando en el análisis a la normativa actual en coordinación con el Área Legal con un nivel de avance del 50%</t>
  </si>
  <si>
    <t>Debido a que el Firewall depende de la base de datos que se tenga y el no tener definido si se migrará o no la base de datos del sistema comercial, no ha permitido elaborar una propuesta; por lo que una vez definido el tema de la migración se procederá a formular este documento. Por otra parte el presupuesto fue recortado de $37,000  a $7,000, por lo que requerirá de aumentar la disponibilidad presupuestaria para poderlo ejecutar.</t>
  </si>
  <si>
    <t>Se finalizó el sistema de consultas de marcaciones pero se está a la espera que RRHH autorice su puesta en marcha. El sistema de bodega tiene un avance del 95% y esperamos el apoyo del encargado de bodega para que realice revisión de funcionamiento  para concluirlo a inicios del mes de julio 2018.</t>
  </si>
  <si>
    <t>Avance en la sistematización de procesos de apoyo</t>
  </si>
  <si>
    <t>Se envió documento a través de memorándum GOT/DI/071/2018.</t>
  </si>
  <si>
    <t>Se remitió propuesta a través de memo GOT/DI/045/2018, se prepararon términos de referencia y se envió requisición de compra N° 15021. En estos momentos se está gestionando ante Presidencia y Junta Directiva la autorización de ejecución.</t>
  </si>
  <si>
    <t>Se tuvo que realizar sondeo con distribuidores de DELL ya que distribuidor HP informó que HP anunció fecha para decontinuar el modelo que había ofertado. Esto ha retrasado el proceso de compra. En estos momentos se están preparando los TDR, junto con la compra de equipos POS y PC, para no caer en fraccionamiento según se consultó con el jefe UACI, por lo que la compra se iría por Licitación o Bolpros.</t>
  </si>
  <si>
    <t>La Unidad de Comunicaciones, RR.PP. y publicidad, no presentó el informe correspondiente al segundo   trimestre de 2018.</t>
  </si>
  <si>
    <t>Durante el segundo trimestre   se obtuvo una participación ciudadana de  735  personas asistentes a los sorteos:
abril: 222,
mayo: 237, y
junio: 276.</t>
  </si>
  <si>
    <t>Durante el segundo trimestre de 2018 se presentaron junio 3  fallas: 
En el sorteo No.102 se fue energía eléctrica  en dos ocasiones y no se llevo planta eléctrica y se desprendió cañuela.</t>
  </si>
  <si>
    <t>Se presento a presidencia para  conocimiento  el repertorios de funciones.
95% de avance del índice de organismo.
Se creo el comité CIGDE (Comité para la gestión documental electrónica), se esta elaborando el manual de correspondencia y registro de la LNB (30% de avance)</t>
  </si>
  <si>
    <t>Traslado de fondo documental acumulado al archivo central.
Traslado de documentos de oficina central  archivo central. 
Se elaboro diagnóstico de cantidad de cajas (392 cajas con documentos) del fondo documental, en el archivo central.
Se elaboró inventario de cantidad de documentos que forman parte del archivo especializado (313.56 metros lineales aproximadamente).</t>
  </si>
  <si>
    <t>Se han realizado inspecciones para verificar la implementación de los archivos de gestión de la Gerencia Comercial, a la fecha  no hay resultados por falta de interés de las jefaturas del área comercial).</t>
  </si>
  <si>
    <t>Se ha elaborado formatos de inventario documentales, formatos estándar para notas de envió.  No se ha avanzado  en este actividad debido a que se ha dedicado el tiempo en actividades de implementación y coordinación del archivo central.
Se ha  equipado en un 75% de mobiliario en el archivo central. (falta de apoyo de las áreas competentes para equipar el archivo)
Traslado de documentos del archivo especializado al archivo central.</t>
  </si>
  <si>
    <t>Indicador no programado al trimestre que se informa.</t>
  </si>
  <si>
    <t xml:space="preserve">0% de avance al  trimestre informado. </t>
  </si>
  <si>
    <t>0% de avance al  trimestre informado</t>
  </si>
  <si>
    <t>0% de avance en el  trimestre informado</t>
  </si>
  <si>
    <t>La Gerencia Comercial,  no presentó el informe correspondiente al segundo  trimestre de 2018.</t>
  </si>
  <si>
    <t xml:space="preserve">98.49% en  promedio de funcionamiento de los sorteos en el segundo trimestre de 2018. 
</t>
  </si>
  <si>
    <t>TRIMESTRE QUE SE INFORMA: JULIO-AGOSTO DE 2018</t>
  </si>
  <si>
    <t xml:space="preserve">Acumulado al:  A agosto 2018 </t>
  </si>
  <si>
    <t xml:space="preserve">Resultados: Julio-Agosto 2018 </t>
  </si>
  <si>
    <t xml:space="preserve">Programado Julio-Agosto 2018 </t>
  </si>
  <si>
    <t xml:space="preserve">Ejecutado Julio-Agosto 2018 </t>
  </si>
  <si>
    <t xml:space="preserve">Programado A agosto 2018 </t>
  </si>
  <si>
    <t xml:space="preserve">Ejecutado A agosto 2018 </t>
  </si>
  <si>
    <t>Indicador no programado en los meses de julio y agosto de 2018.</t>
  </si>
  <si>
    <t>0% de avance en este indicado</t>
  </si>
  <si>
    <t xml:space="preserve">No se efectuó examen al cumplimiento de la PAA 2018, debido a que el Jefe UFI no envió a esta unidad informe de Ahorros del segundo trimestre de abril a junio de 2018, el cual le fue solicitado a través de Memorándum AI-158/2018 de fecha 31-07-2018. </t>
  </si>
  <si>
    <t>Indicador cumplido en el segundo trimestre.</t>
  </si>
  <si>
    <t>Se ha monitoreado y controlado en un 100% los intentos de infección durante este trimestre.</t>
  </si>
  <si>
    <t>Se envió documento a través de memorándum GOT/DI/071/2018, lo cual ya se había reportado en el segundo trimestre de 2018. Esta pendiente el visto bueno a alguna de las alternativas planteadas.</t>
  </si>
  <si>
    <t>No se obtuvo la información por parte del área de Créditos.  
0% de avance al mes de agosto de 2018.</t>
  </si>
  <si>
    <t>Durante los meses de julio y agosto de 2018,   se obtuvo una participación ciudadana de  894  personas asistentes a los sorteos:
julio: 587 y
agosto: 307.</t>
  </si>
  <si>
    <t xml:space="preserve">Medidas de protección al patrimonio documental de la LNB (5 trasferencias documentales, Actas y detalle de la información), Reuniones de trabajo con el CID, elaboración del Índice  de Organismo, guía para elaborar  del Índice Legislativo, formatos para préstamos de documentos. Esta pendiente el equipamiento del Archivo Central (aires acondicionados, sillas ergonómicas, colocación de extintores, etc.; ya se realizaron las gestiones pertinentes). </t>
  </si>
  <si>
    <t>Se elaboró de Guía para organizar el FDA, formulación y aplicación de instrumentos de descripción, plan de trabajo para organizar el FDA.</t>
  </si>
  <si>
    <t>Aplicación de procesos archivísticos y elaboración de inventarios documentales que no tienen vigencia, contenido de 37 cajas con documentos originados en la UFI y DACI. Actividades de organización del FDA en el  Sub fondo documental de la DACI, documentos generados en los años 2008 y 2009, teniendo como resultado 39 unidades de instalación colocadas e identificadas en el depósito documental. Transferencias documentales de los archivos de gestión al archivo central.</t>
  </si>
  <si>
    <t>En los meses julio y agosto de 2018,  no se recibieron  quejas y denuncias ciudadanas.</t>
  </si>
  <si>
    <t>El informe fue autorizado por Junta Directiva en el mes de septiembre de 2018.</t>
  </si>
  <si>
    <t xml:space="preserve">Indicador no programado en  los meses de julio y agosto de 2018. </t>
  </si>
  <si>
    <t>Se desarrollaron  2 temas de capacitación de acuerdo con el plan: 
-Procesos de Compra Módulo Comprasal, 5 empleados de la UACI; y 
-Elaboración de Reglamento Interno 3 empleados de Recursos Humanos y Unidad Legal.  Se desarrollo además un tema adicional Postgrado en Adquisiciones Públicas a 1 empleado de la UACI.</t>
  </si>
  <si>
    <t>La UTL, no presentó el informe correspondiente  al segundo   trimestre y el informe de los meses de julio y agosto de 2018.</t>
  </si>
  <si>
    <t xml:space="preserve">No se obtuvo la información por parte de la UTL. </t>
  </si>
  <si>
    <t>Se informo de forma verbal a GOT de este objetivo de sistematizar el seguimiento y evaluación de la planificación  institucional.</t>
  </si>
  <si>
    <t>0% de avance en este indicador.</t>
  </si>
  <si>
    <t>Indicador no programado en los meses de julio y agosto.</t>
  </si>
  <si>
    <t>INFORME DE SEGUIMIENTO A OBJETIVOS E INDICADORES ESTRATÉGICOS, AÑO  2018</t>
  </si>
  <si>
    <t>Se presentaron para aprobación las nuevas estructuras de premios a Junta Directiva. LOTINAVIDAD, VACACIONES CON PISTO, OLLA DE LA SUERTE, FRUTAS RICA$ Y BINGO CASH II.</t>
  </si>
  <si>
    <t>Se realizo el brief publicitario para la nueva campaña comercial de LOTIN.</t>
  </si>
  <si>
    <t>Se elaboro un acta y se tomo nota de las peticiones hechas al titular de todo lo presentado por los agentes vendedores.</t>
  </si>
  <si>
    <t>0% de avance al mes de agosto de 2018.</t>
  </si>
  <si>
    <t>0% de avance de este indicador  al mes de agosto de 2018.</t>
  </si>
  <si>
    <t>No se ha podido participar debido a la falta de personal en Agencias.</t>
  </si>
  <si>
    <t>No se han tenido actividades de emprendedurismo debido a la falta de personal.</t>
  </si>
  <si>
    <t>De enero a  agosto se tiene una venta en LOTRA de  787,560  billetes equivalente al 51.14% de una emisión de 1,540,000 billetes.</t>
  </si>
  <si>
    <t>- Cuadro de normativa institucional (según la pirámide de Kelsen).
'- Cuadro de áreas organizativas (Según el organigrama vigente a la fecha y clasificado en las 4 secciones).
- Clasificador de ámbitos funcionales (Propuesta).
B. Documentos para la UGDA.
- Guía para organizar el fondo documental acumulado (autorizado, vigente desde el 20/08/2018).
Se remitió propuesta Instructivo y  procedimientos de fondo circulante  para revisión de Gerente de Operaciones en el mes de julio.</t>
  </si>
  <si>
    <t>Según informe, en los meses de abril  y agosto  la venta de LOTIN fue de 23,141 libretas que representa el 62.94% de una emisión de 60,000 libretas de los diferentes juegos.</t>
  </si>
  <si>
    <t>Se tiene en análisis la promoción para vendedores y se estima lanzar en fin de año.</t>
  </si>
  <si>
    <r>
      <rPr>
        <b/>
        <sz val="22"/>
        <rFont val="Arial"/>
        <family val="2"/>
      </rPr>
      <t>Agosto:</t>
    </r>
    <r>
      <rPr>
        <sz val="22"/>
        <rFont val="Arial"/>
        <family val="2"/>
      </rPr>
      <t xml:space="preserve">
1- C.C. La Joya No. 1;
2- C.C. La Joya No. 2;
3- Ministerio de Gobernación;
4- Plan Maestro MINED;
5- C.C. Las Cascadas;
6- R.N.P.N.
7- C.C. Unicentro AltaVista;
8- C.C. Unicentro Soyapango; 
9- M.A.G.</t>
    </r>
  </si>
  <si>
    <r>
      <t xml:space="preserve">1313 Francisco  Alejandro Portillo  Hernández. 
</t>
    </r>
    <r>
      <rPr>
        <b/>
        <sz val="22"/>
        <rFont val="Arial"/>
        <family val="2"/>
      </rPr>
      <t xml:space="preserve">Junio:  </t>
    </r>
    <r>
      <rPr>
        <sz val="22"/>
        <rFont val="Arial"/>
        <family val="2"/>
      </rPr>
      <t xml:space="preserve">                        
1314 Alba Petróleos de EL Salvador  S.E.M.  de C.V.;  1315 Tony Alberto Pérez;   1316 Sayra  Yamileth Hernández Menjivar; 1317 Iris Lissette García  García.</t>
    </r>
  </si>
  <si>
    <t>Se inicio operaciones de venta en el mes de julio con Alba Petróleo, como nuevo canal de ventas.</t>
  </si>
  <si>
    <t>Se realizaron 6 reuniones Informativas con agentes vendedores: San Salvador el 5 de julio, Sonsonate y Santa Ana, el 6 de julio, Zacatecoluca, Usulután y San Miguel el 13 de julio de 2018</t>
  </si>
  <si>
    <t xml:space="preserve">Las  acciones desarrolladas  en el período informado:
A fin de incentivar la práctica del compromiso para con la Institución, se remitió a  todo el personal mediante correo interno, el boletín sobre compromiso en el mes de julio. Se remitieron 2 felicitaciones en días especiales  del Archivista e Ingeniero y  23 reconocimientos en día de cumpleaños de los empleados. </t>
  </si>
  <si>
    <t>El programa fue suspendido temporalmente, en acuerdo autorizado por Junta Directiva acta 3021 del punto VIII.8.1 celebrada 3 de mayo de 2018. Se solicitará una reprogramación del objetivo para el 4to. trimestre.</t>
  </si>
  <si>
    <t>Programa autorizado el 06 de marzo 2018 en Punto IV.4.2 del Acta 3012.</t>
  </si>
  <si>
    <t>El avance de este indicador corresponde a un sondeo de mercado para evaluar las mecánicas y diseños; así como, nombre para los nuevos productos a producir.</t>
  </si>
  <si>
    <t>Se presentó el informe final, el cual servirá para respaldar la toma de decisiones sobre los nuevos productos.</t>
  </si>
  <si>
    <t>Al avance de este objetivo corresponde a las acciones siguientes:
-Se actualizo perfil del puesto, Instructivo y  procedimientos de fondo circulante. Apoyo al Comité de identificación documental (CID). Se elaboraron los siguientes formatos y documentos:
- Formato para Índice Legislativo y Repertorio de Tipos y Series documentales (#4, uno por cada sección).
- Indicaciones para elaborar el Índice Legislativo y Repertorio de tipos y series documentales.</t>
  </si>
  <si>
    <t>Según informe, en el período de abril a  agosto la venta de LOTRA fue de 490,170 billetes equivalente al 48.53% de una emisión de 1,010,000 billetes.</t>
  </si>
  <si>
    <t>Al mes de agosto se tiene un promedio de venta acumulado de el 75.60%.</t>
  </si>
  <si>
    <t>0% de avance en el período informado.</t>
  </si>
  <si>
    <r>
      <t xml:space="preserve">Se realizaron 18 activaciones en los puntos de ventas para impulsar las ventas:
</t>
    </r>
    <r>
      <rPr>
        <b/>
        <sz val="22"/>
        <rFont val="Arial"/>
        <family val="2"/>
      </rPr>
      <t>Julio</t>
    </r>
    <r>
      <rPr>
        <sz val="22"/>
        <rFont val="Arial"/>
        <family val="2"/>
      </rPr>
      <t>:
1- C.C. San Luis; 
2- C.C. Metrocentro, 4ª etapa;
3- C.C. Plaza Merliot, nivel 1;
4- C.C. Plaza Merliot, nivel 2;
5- C.C. Unicentro Metrópolis;
6- C.C. Galerías,  nivel 1;
7- C.C. Galerías,  nivel 2;
8- C.C. Las Palmas;
9- C.C. Santa Rosa.</t>
    </r>
  </si>
  <si>
    <t>Indicador no programado al mes de  agosto de 2018.</t>
  </si>
  <si>
    <t>El avance de las actividades corresponde a:
Se ha elaborado la propuesta del nuevo juego que se estima salga al mercado en el mes de octubre sustituyendo al Pozo de la Lotería; se realizaron los análisis pertinentes.</t>
  </si>
  <si>
    <t>Se ha tomado la decisión por lineamientos de la administración superior que se implemente un nuevo juego de LOTRA.</t>
  </si>
  <si>
    <t>Se estima que se lance en el mes de septiembre el primer producto de este juego.</t>
  </si>
  <si>
    <t>En  los meses de junio y julio se inauguraron 6 puntos de venta:
Junio
01-C.C. Plaza Centro, San Salvador
12-El Rosario, La Paz
14-C.C. Metrocentro, Santa Ana
Julio
05-Reapertura División Técnica y Científica P.N.C. (Nota: Fue cerrado el 05-Sept.-2018)</t>
  </si>
  <si>
    <r>
      <t xml:space="preserve">Se reclutaron 25 agentes vendedores, en el período de abril a agosto:
</t>
    </r>
    <r>
      <rPr>
        <b/>
        <sz val="22"/>
        <rFont val="Arial"/>
        <family val="2"/>
      </rPr>
      <t xml:space="preserve">Abril:
</t>
    </r>
    <r>
      <rPr>
        <sz val="22"/>
        <rFont val="Arial"/>
        <family val="2"/>
      </rPr>
      <t xml:space="preserve">1301 Antonia del Carmen  Alas Cartagena; 1302 Candelaria del Carmen Bonilla  Cruz;  1303 Sandra Verónica  Escobar  Sorto;              
</t>
    </r>
    <r>
      <rPr>
        <b/>
        <sz val="22"/>
        <rFont val="Arial"/>
        <family val="2"/>
      </rPr>
      <t>Mayo</t>
    </r>
    <r>
      <rPr>
        <sz val="22"/>
        <rFont val="Arial"/>
        <family val="2"/>
      </rPr>
      <t xml:space="preserve">:             
1305 Carlos Alberto  Monterrosa;                                    
1306 Víctor Candelario Calero;                                                 
1308 Lidio  Antonio  Fernández Alvarado; 1309 Manuel de Jesús  Medrano Ponce;  1310 Denis  Geovani  Menjivar Rosa;  1311 Raymundo  Alvarenga Bonilla; </t>
    </r>
  </si>
  <si>
    <r>
      <rPr>
        <b/>
        <sz val="22"/>
        <rFont val="Arial"/>
        <family val="2"/>
      </rPr>
      <t>Julio:</t>
    </r>
    <r>
      <rPr>
        <sz val="22"/>
        <rFont val="Arial"/>
        <family val="2"/>
      </rPr>
      <t xml:space="preserve">              
1318 Domingo  Monterola  Villanueva;                                                
1319 Francisco Martínez  Corvera;                                                
1320 José  García Peñate;                                                 
1321 Manuel de Jesús  Andino Méndez; 1322 Juan José Ramírez  Baires;          
</t>
    </r>
    <r>
      <rPr>
        <b/>
        <sz val="22"/>
        <rFont val="Arial"/>
        <family val="2"/>
      </rPr>
      <t>Agosto</t>
    </r>
    <r>
      <rPr>
        <sz val="22"/>
        <rFont val="Arial"/>
        <family val="2"/>
      </rPr>
      <t xml:space="preserve">:             
1323 Rosa  Elvira  Cortez  Valle;                                                 
1325 Jesús Roberto Melgar Gómez;                                                                                                
1327 Patrocinio Portillo;                                                 
1330 Daniel  de  Jesús  Mayorga Santos; </t>
    </r>
  </si>
  <si>
    <t xml:space="preserve">1331 José Raúl Reyes González;  1332 Francisco de Jesús  Recinos. </t>
  </si>
  <si>
    <t>indicador no programado en los meses de julio y agosto de 2018</t>
  </si>
  <si>
    <t>Actividades desarrolladas: 
Se tiene avance de negociaciones con el Banco Cuscatlán para hacer un convenio y poder reaperturar Agencia  Santa Rosa  de Lima 
Se tiene programado para la primera semana de septiembre aperturar al Sucursal la Esperanza en Col. Médica, San Salvador.</t>
  </si>
  <si>
    <t>0% de avance al mes de agosto en este objetivo.</t>
  </si>
  <si>
    <t>Se ha suspendido  las actividades de recolección de información en los buzones por falta de personal.</t>
  </si>
  <si>
    <r>
      <t xml:space="preserve">El avance corresponde al período de enero a agosto:
</t>
    </r>
    <r>
      <rPr>
        <b/>
        <sz val="22"/>
        <rFont val="Arial"/>
        <family val="2"/>
      </rPr>
      <t>Primer trimestre (% ejecutado 44%):</t>
    </r>
    <r>
      <rPr>
        <sz val="22"/>
        <rFont val="Arial"/>
        <family val="2"/>
      </rPr>
      <t xml:space="preserve"> se elaboraron estrategias con la parte de redes sociales, para fortalecer la comunicación externa con relación a los productos y al quehacer de la LNB. 
</t>
    </r>
    <r>
      <rPr>
        <b/>
        <sz val="22"/>
        <rFont val="Arial"/>
        <family val="2"/>
      </rPr>
      <t xml:space="preserve">Segundo trimestre (% ejecutado 18.60%): </t>
    </r>
    <r>
      <rPr>
        <sz val="22"/>
        <rFont val="Arial"/>
        <family val="2"/>
      </rPr>
      <t>Se desarrollo la estrategia  comercial para comunicar al público en general del pozo de la lotería.</t>
    </r>
  </si>
  <si>
    <r>
      <rPr>
        <b/>
        <sz val="22"/>
        <rFont val="Arial"/>
        <family val="2"/>
      </rPr>
      <t>Julio y Agosto  (% ejecutado 12%):</t>
    </r>
    <r>
      <rPr>
        <sz val="22"/>
        <rFont val="Arial"/>
        <family val="2"/>
      </rPr>
      <t xml:space="preserve">
Se realizó comunicación  a través de redes sociales, con la incorporación de pauta publicitaria en la plataforma de Facebook e Instagram.
El 75% de ejecutado que refleja en el informe de julio y agosto, corresponde  a los informes del primero, segundo trimestre y el informe de julio y agosto; ya que ha esta fecha  la Unidad de Comunicaciones no había presentado los informes de avance de metas. </t>
    </r>
  </si>
  <si>
    <t>Se realizó el lanzamiento de la campaña del 148 aniversario de la institución.</t>
  </si>
  <si>
    <t xml:space="preserve">Indicador no programado en los meses de julio y agosto de 2018. </t>
  </si>
  <si>
    <t>Se remitió propuesta a Presidencia que incluye la compra de este equipo. Por el momento se está a la espera de decisión de Presidencia para proceder con la requisición.</t>
  </si>
  <si>
    <t>Se remitió requisición y fue aprobada por Junta Directiva. 'Se está ejecutando proceso de adquisición de licencias y servicios profesionales de migración según oferta de compra N° 72 que se está llevando a cabo en BOLPROS.</t>
  </si>
  <si>
    <t>El sistema de bodega se finalizó y se puso en producción en el mes de agosto 2018. No se ha continuado con otros sistemas ya que se ha requerido a todo el recurso humano disponible para sacar adelante el proyecto de promociones de LOTRA y LOTIN.</t>
  </si>
  <si>
    <t>Se llevaron a cabo en el mes julio  reuniones en diferentes Agencias del país con vendedores de productos de lotería de los municipios de  San Salvador, Santa Ana, San Miguel, Sonsonate, Usulután, Zacatecoluca.</t>
  </si>
  <si>
    <t>11 días de tiempo promedio de respuesta a las solicitudes de la ciudadanía en los meses de julio y agosto de 2018.</t>
  </si>
  <si>
    <t>En los meses de julio y agosto de 2018, se recibieron  28 requerimiento: 17 para la Unidad de Acceso a la Información Pública, 7 requerimientos a la Unidad de Planeación Estratégica, Género y Medio Ambiente, 4  requerimientos para la Comisión de Ética de la LNB.</t>
  </si>
  <si>
    <t>Al 31 de agosto de 2018 se público un 80% de la Información oficiosa, pendiente de actualizar las actas de Junta Directiva desde 17 de abril  a agosto 2018, falta el POA 2018, actualizar los estándares: presupuestos, estados financieros, viajes y resolución de solicitudes.</t>
  </si>
  <si>
    <r>
      <t xml:space="preserve">El avance corresponde a:
</t>
    </r>
    <r>
      <rPr>
        <b/>
        <sz val="22"/>
        <rFont val="Arial"/>
        <family val="2"/>
      </rPr>
      <t xml:space="preserve">En el segundo trimestre, el 80%  de avance corresponde a: </t>
    </r>
    <r>
      <rPr>
        <sz val="22"/>
        <rFont val="Arial"/>
        <family val="2"/>
      </rPr>
      <t xml:space="preserve"> Se subió la información de comunicación en las diferentes plataformas Facebook, YouTube, Instagram, twitter, WhatsApp.</t>
    </r>
  </si>
  <si>
    <r>
      <rPr>
        <b/>
        <sz val="22"/>
        <rFont val="Arial"/>
        <family val="2"/>
      </rPr>
      <t xml:space="preserve">En los meses de julio y agosto el 20%  de avance corresponde a: </t>
    </r>
    <r>
      <rPr>
        <sz val="22"/>
        <rFont val="Arial"/>
        <family val="2"/>
      </rPr>
      <t xml:space="preserve">Se presentó  informe donde se ha  divulgado la información, sobre  espacios de participación ciudadana a través de nuestras redes sociales, Facebook, YouTube, twitter, Instagram, WhatsApp y en la página web. 
No obstante, el cumplimento de éste objetivo, la política de participación ciudadana, no considera las redes sociales como mecanismo de pc. </t>
    </r>
  </si>
  <si>
    <t xml:space="preserve">100% en  promedio de funcionamiento de los sorteos en los meses de julio y agosto de 2018. 
</t>
  </si>
  <si>
    <t>En los meses de julio a agosto de 2018 no se presentaron falla durante la realización de los sorteo.</t>
  </si>
  <si>
    <t xml:space="preserve">Se elaboró Guía para organizar el Fondo Documental Acumulado, elaboración y aplicación de instrumentos de descripción documental. Se capacitó al encargado de Archivo Central y las personas practicantes, se implementaron medidas de control de archivo central, revisión de documentos que transfieren los archivos de gestión. </t>
  </si>
  <si>
    <t>Indicador no programado  en los meses de julio y agosto de 2018.</t>
  </si>
  <si>
    <t>Se desarrollaron gestiones con CAPRES para ejecutar el tema, pero a al fecha no se ha concretizado. Por lo cual en el mes de octubre, Recursos Humanos desarrollará talleres con el personal, relacionados a la evaluación del desempeño en el Servicio Publico.</t>
  </si>
  <si>
    <t>Continuación….
Fortalecer la imagen institucional y comercial.</t>
  </si>
  <si>
    <t>Continuación…
Desarrollar acciones en el marco de la política de participación ciudadana para transparentar la gestión pública de la LNB.</t>
  </si>
  <si>
    <t>Continuación…
Número de acciones realizadas</t>
  </si>
  <si>
    <t xml:space="preserve">1331 José Raúl Reyes González;  1332 Francisco de Jesús Recinos. </t>
  </si>
  <si>
    <r>
      <rPr>
        <b/>
        <sz val="22"/>
        <rFont val="Arial"/>
        <family val="2"/>
      </rPr>
      <t>Julio:</t>
    </r>
    <r>
      <rPr>
        <sz val="22"/>
        <rFont val="Arial"/>
        <family val="2"/>
      </rPr>
      <t xml:space="preserve">              
1318 Domingo Monterola Villanueva;                                                
1319 Francisco Martínez  Corvera;                                                
1320 José García Peñate;                                                 
1321 Manuel de Jesús  Andino Méndez; 1322 Juan José Ramírez  Baires;          
</t>
    </r>
    <r>
      <rPr>
        <b/>
        <sz val="22"/>
        <rFont val="Arial"/>
        <family val="2"/>
      </rPr>
      <t>Agosto</t>
    </r>
    <r>
      <rPr>
        <sz val="22"/>
        <rFont val="Arial"/>
        <family val="2"/>
      </rPr>
      <t xml:space="preserve">:             
1323 Rosa  Elvira  Cortez  Valle;                                                 
1325 Jesús Roberto Melgar Gómez;                                                                                                
1327 Patrocinio Portillo;                                                 
1330 Daniel de Jesús Mayorga Santos; </t>
    </r>
  </si>
  <si>
    <r>
      <t xml:space="preserve">Se reclutaron 25 agentes vendedores, en el período de abril a agosto:
</t>
    </r>
    <r>
      <rPr>
        <b/>
        <sz val="22"/>
        <rFont val="Arial"/>
        <family val="2"/>
      </rPr>
      <t xml:space="preserve">Abril:
</t>
    </r>
    <r>
      <rPr>
        <sz val="22"/>
        <rFont val="Arial"/>
        <family val="2"/>
      </rPr>
      <t xml:space="preserve">1301 Antonia del Carmen  Alas Cartagena; 1302 Candelaria del Carmen Bonilla  Cruz;  1303 Sandra Verónica Escobar Sorto;              
</t>
    </r>
    <r>
      <rPr>
        <b/>
        <sz val="22"/>
        <rFont val="Arial"/>
        <family val="2"/>
      </rPr>
      <t>Mayo</t>
    </r>
    <r>
      <rPr>
        <sz val="22"/>
        <rFont val="Arial"/>
        <family val="2"/>
      </rPr>
      <t xml:space="preserve">:             
1305 Carlos Alberto  Monterrosa;                                    
1306 Víctor Candelario Calero;                                                 
1308 Lidio Antonio Fernández Alvarado; 1309 Manuel de Jesús  Medrano Ponce;  1310 Denis  Geovani  Menjivar Rosa;  1311 Raymundo Alvarenga Bonilla; </t>
    </r>
  </si>
  <si>
    <r>
      <t xml:space="preserve">1313 Francisco Alejandro Portillo  Hernández..
</t>
    </r>
    <r>
      <rPr>
        <b/>
        <sz val="22"/>
        <rFont val="Arial"/>
        <family val="2"/>
      </rPr>
      <t xml:space="preserve">Junio:  </t>
    </r>
    <r>
      <rPr>
        <sz val="22"/>
        <rFont val="Arial"/>
        <family val="2"/>
      </rPr>
      <t xml:space="preserve">                        
1314 Alba Petróleos de EL Salvador  S.E.M. de C.V.;  1315 Tony Alberto Pérez;  1316 Sayra  Yamileth Hernández Menjivar; 1317 Iris Lissette García García.</t>
    </r>
  </si>
  <si>
    <t xml:space="preserve">Al mes de agosto  se tiene una utilidad de US$123,283.00. </t>
  </si>
  <si>
    <t>Se obtuvo una rentabilidad sobre los depósitos de US$69,972.00 correspondiente a los meses de  abril a agosto de 2018.</t>
  </si>
  <si>
    <t>Según informe, en el primer trimestre de 2018,  se obtuvo una pérdida de operación en LOTRA de -US$18,2849.00 y en el período de julio y agosto  fue de -US$95,774.00</t>
  </si>
  <si>
    <t>Según informe, en el segundo  trimestre de 2018,  se obtuvo una pérdida de operación en LOTRA de -US$18,2849.00 y en el período de julio y agosto  fue de -US$95,774.00</t>
  </si>
  <si>
    <t>Al mes de agosto se tiene  una rentabilidad sobre la disponibilidad   de US$110,277.00.</t>
  </si>
  <si>
    <t>- Cuadro de normativa institucional (según la pirámide de Kelsen).
- Cuadro de áreas organizativas (Según el organigrama vigente a la fecha y clasificado en las 4 secciones).
- Clasificador de ámbitos funcionales (Propuesta).
B. Documentos para la UGDA.
-Guía para organizar el fondo documental acumulado (autorizado, vigente desde el 20/08/2018).
Se remitió propuesta Instructivo y  procedimientos de fondo circulante  para revisión de Gerente de Operaciones en el mes de julio.</t>
  </si>
  <si>
    <r>
      <t xml:space="preserve">El avance corresponde a:
</t>
    </r>
    <r>
      <rPr>
        <b/>
        <sz val="22"/>
        <color rgb="FFFF0000"/>
        <rFont val="Arial"/>
        <family val="2"/>
      </rPr>
      <t xml:space="preserve">En el segundo trimestre, el 80%  de avance corresponde a: </t>
    </r>
    <r>
      <rPr>
        <sz val="22"/>
        <color rgb="FFFF0000"/>
        <rFont val="Arial"/>
        <family val="2"/>
      </rPr>
      <t xml:space="preserve"> Se subió la información de comunicación en las diferentes plataformas Facebook, YouTube, Instagram, twitter, WhatsApp.</t>
    </r>
  </si>
  <si>
    <r>
      <rPr>
        <b/>
        <sz val="22"/>
        <color rgb="FFFF0000"/>
        <rFont val="Arial"/>
        <family val="2"/>
      </rPr>
      <t xml:space="preserve">En los meses de julio y agosto el 20%  de avance corresponde a: </t>
    </r>
    <r>
      <rPr>
        <sz val="22"/>
        <color rgb="FFFF0000"/>
        <rFont val="Arial"/>
        <family val="2"/>
      </rPr>
      <t xml:space="preserve">Se presentó  informe donde se ha  divulgado la información, sobre  espacios de participación ciudadana a través de nuestras redes sociales, Facebook, YouTube, twitter, Instagram, WhatsApp y en la página web. 
No obstante, el cumplimento de éste objetivo, la política de participación ciudadana, no considera las redes sociales como mecanismo de pc. </t>
    </r>
  </si>
  <si>
    <t xml:space="preserve">El programa fue suspendido temporalmente, en acuerdo autorizado por Junta Directiva acta 3021 del punto VIII.8.1 celebrada 3 de mayo de 2018. </t>
  </si>
  <si>
    <t>GCO-0702</t>
  </si>
  <si>
    <t>GCO-01103</t>
  </si>
  <si>
    <t>GCO-1102</t>
  </si>
  <si>
    <t>GCO-15</t>
  </si>
  <si>
    <t>GCO-1501</t>
  </si>
  <si>
    <t>GCO-16</t>
  </si>
  <si>
    <t>GCO-1601</t>
  </si>
  <si>
    <t>DINF-0102</t>
  </si>
  <si>
    <t>DINF-0101</t>
  </si>
  <si>
    <t>DINF-0103</t>
  </si>
  <si>
    <t>DINF-0104</t>
  </si>
  <si>
    <t>DINF-0105</t>
  </si>
  <si>
    <t>DINF-02</t>
  </si>
  <si>
    <t>DINF-0201</t>
  </si>
  <si>
    <t>DINF-03</t>
  </si>
  <si>
    <t>DINF-0301</t>
  </si>
  <si>
    <t>DINF-04</t>
  </si>
  <si>
    <t>DINF-0401</t>
  </si>
  <si>
    <t>GDI-0101</t>
  </si>
  <si>
    <t>GDI-01</t>
  </si>
  <si>
    <t>GDI-02</t>
  </si>
  <si>
    <t>GDI-0201</t>
  </si>
  <si>
    <t>GDI-03</t>
  </si>
  <si>
    <t>GDI-0301</t>
  </si>
  <si>
    <t>DINF-01</t>
  </si>
  <si>
    <t>GDI-04</t>
  </si>
  <si>
    <t>GDI-0401</t>
  </si>
  <si>
    <t>GDI-05</t>
  </si>
  <si>
    <t>GDI-0501</t>
  </si>
  <si>
    <t>PERÍODO QUE SE INFORMA: SEPTIEMBRE - DICIEMBRE DE 2018</t>
  </si>
  <si>
    <t>Seguimiento al POA 2018 sept. - dic. de 2018</t>
  </si>
  <si>
    <t xml:space="preserve">Resultados: septiembre -diciembre 2018 </t>
  </si>
  <si>
    <t xml:space="preserve">Acumulado al:  A diciembre 2018 </t>
  </si>
  <si>
    <t xml:space="preserve">Programado septiembre- diciembre 2018 </t>
  </si>
  <si>
    <t xml:space="preserve">Ejecutado septiembre- diciembre 2018 </t>
  </si>
  <si>
    <t xml:space="preserve">Programado A diciembre  2018 </t>
  </si>
  <si>
    <t xml:space="preserve">Ejecutado A diciembre  2018 </t>
  </si>
  <si>
    <t>No se efectuó examen al cumplimiento de la PAA 2018, debido a que el Jefe UFI no envió a esta Unidad, el Informe de Ahorros del tercer trimestre de 2018, el cual fue solicitado a través de Memorándum UAI.ME.251/2018 de fecha 23/11/2018.</t>
  </si>
  <si>
    <t>A partir del mes de mayo, se nombró un nuevo Presidente, lo cual derivó en una serie de cambios en el funcionamiento institucional, entre los cuales se modificó la Estructura Organizativa, que entró en vigencia a partir del 1 de septiembre de 2018, en el mismo sentido ocurrieron rotaciones de personal, que incluyó el movimiento de 7 posiciones gerenciales, por lo cual en el período informado, los esfuerzos del personal del Depto. de Planificación, se enfocaron a armonizar los Manuales de Organización y de Puesto, así como los planes operativos 2018  y ajuste a los planes operativos 2019, conforme con la nueva Estructura, todo ello mediante la actualización de los referidos documentos con las diferentes unidades organizativas.</t>
  </si>
  <si>
    <t>Se revisaron y actualizaron la documentos siguientes:
-Replanteamiento del mapa de procesos y responsables, 
-Actualización del manual de administración y custodia de instrumentos normativos, 
-Actualización del manual para el control de registros, 
-Se  modifico  y presentó en el mes de diciembre el Manual para la gestión de riesgos  de LNB  para revisión y/o visto bueno.
Se remitió a Presidencia para autorización, la actualización del los fundamentos del Sistema Normativo que incluye:  Mapa de procesos y responsables; Manual de administración y custodia de instrumentos normativos y el Manual para el control de registros.</t>
  </si>
  <si>
    <t xml:space="preserve">Formación de Presentadores de Imagen Pública a 2 empleados de Gcia. Comercial; Actualización Contable para 1 empleada de Contabilidad; Auditoría de Evaluación de Riesgos a 1 empleada de la Unidad de Auditoría; Congreso Comercial de la WLS 2018 a 2 empleados del área Comercial; Firma Electrónica a 2 empleados de Planificación; Admón. de Riesgos Financieros a 4 empleados de la UFI y Auditoría; Introducción a la Ley de Procedimientos Administrativos a 5 empleados de Auditoria, Gerencia Comercial, UACI, UFI y RR.HH. y diplomado en Derecho Administrativo a 3 empleados de Presidencia, UACI y UTL. </t>
  </si>
  <si>
    <t>No fue factible ejecutar la evaluación en 2018, para conocer el índice, por lo cual se reprogramó para el primer trimestre 2019.</t>
  </si>
  <si>
    <t xml:space="preserve">Se remitió memorando a la Dirección Superior, en el cual se solicitó reprogramar la evaluación para el año 2019, en vista que dada la reorganización funcional del mes de septiembre de 2018, el ambiente laboral no presentaba las condiciones necesarias, para desarrollar una evaluación de esta naturaleza. </t>
  </si>
  <si>
    <t>Se realizó a través de proceso de Libre Gestión 138/2018.</t>
  </si>
  <si>
    <t>En diciembre de 2018 se instalaron los equipos y se inició proceso de migración de las máquinas virtuales hacia la nueva SAN. Este proceso finalizará en enero 2019.</t>
  </si>
  <si>
    <t>Objetivo  cumplido en el segundo trimestre.</t>
  </si>
  <si>
    <t>Debido a que el Firewall depende de la base de datos que se tenga y el no haberla migrado, no ha permitido elaborar una propuesta; por lo que una vez definido el tema de la migración se procederá a formular este documento. Por otra parte el presupuesto de 2018 fue recortado de $37,000  a $7,000.</t>
  </si>
  <si>
    <t>0% de avance al mes de diciembre  de 2018.</t>
  </si>
  <si>
    <t xml:space="preserve">Se puso en marcha el sistema de consultas de marcaciones una vez que RRHH autorizó su puesta en producción. </t>
  </si>
  <si>
    <t>No se continuó con los otros sistemas previstos ya que se ha requerido todo el personal humano disponible para sacar adelante el proyecto de promociones de LOTRA y LOTIN y además uno de los analistas programadores renunció a su cargo en noviembre 2018.</t>
  </si>
  <si>
    <t xml:space="preserve">Se ejecutó el tema La Evaluación del Desempeño en el servicio público a través de CAPRES a 4 empleados de Recursos Humanos y GDI. </t>
  </si>
  <si>
    <t>Durante período de septiembre a diciembre de 2018, se obtuvo una participación ciudadana de  1,290  personas asistentes a los sorteos:
septiembre: 360,
octubre: 486,
noviembre: 260  y
diciembre: 184.</t>
  </si>
  <si>
    <t xml:space="preserve">99% en  promedio de funcionamiento de los sorteos en los meses de septiembre a diciembre de 2018. 
</t>
  </si>
  <si>
    <t>Se elaboraron   actas de transferencias documentales por traslados de personal y despidos,</t>
  </si>
  <si>
    <t xml:space="preserve">Se elaboró  programa  de Mantenimiento de las instalaciones del Archivo Central, 2 talleres desarrollados con  encargados de archivos y técnicos en el tema: Conservación Documental. </t>
  </si>
  <si>
    <t>Se organizaron de expedientes generados por la DACI en el año 2009 y 2010,  UACI doc. del año 2011 al 2014, con un total de 168 unidades de instalación, 4 transfe. Doc. de los archivos de gestión al Archivo Central, 3 servicios de prestamos de documentos.</t>
  </si>
  <si>
    <t>0% de avance de este  objetivo en el 2018.</t>
  </si>
  <si>
    <t>GDI</t>
  </si>
  <si>
    <t>Depto. de Informática</t>
  </si>
  <si>
    <t xml:space="preserve">En 2019, se desarrollan las gestiones necesarias a fin de poder tener un aplicativo para la formulación y seguimiento y evaluación de los planes de trabajo, esto ya que la gerencia de operaciones con la cual se había gestionado el requerimiento del aplicativo en 2018, dejó de funcionar a partir de septiembre de 2018, debido a los cambios en la estructura organizativa. </t>
  </si>
  <si>
    <t>En el período de septiembre a diciembre de 2018,  se obtuvo una pérdida de operación en LOTRA de -US$502,995.00.</t>
  </si>
  <si>
    <t xml:space="preserve">Según informe al mes diciembre  se obtuvo una utilidad de US$379,712.00. </t>
  </si>
  <si>
    <t>La UTL, no presentó el informe correspondiente  al segundo   trimestre y el informe de los meses de septiembre a diciembre  de 2018.</t>
  </si>
  <si>
    <t>En los meses septiembre a diciembre de 2018,  no se recibieron  quejas y denuncias ciudadanas.</t>
  </si>
  <si>
    <t>Elaboró la propuesta para autorización de Junta Directiva, sobre nuevo juego hibrido, el cual contendría dos juegos en 1.</t>
  </si>
  <si>
    <t xml:space="preserve">Autorización de Junta Directiva para ser lanzada en el mes de noviembre de 2018. </t>
  </si>
  <si>
    <r>
      <rPr>
        <sz val="22"/>
        <rFont val="Arial"/>
        <family val="2"/>
      </rPr>
      <t>Se presento la propuesta  nuevo juego LOTIBINGO para autorización de Junta Directiva.</t>
    </r>
    <r>
      <rPr>
        <sz val="22"/>
        <color rgb="FFFF0000"/>
        <rFont val="Arial"/>
        <family val="2"/>
      </rPr>
      <t xml:space="preserve"> </t>
    </r>
  </si>
  <si>
    <t>Se realizo el brief publicitario para la nueva campaña comercial de LOTRA,  se revisaron los conceptos creativos y planes de medios para el lanzamiento del nuevo juego MEGALOTE  y Lanzamiento de campaña de LOTRA que fue para el SORTEO NAVIDEÑO.</t>
  </si>
  <si>
    <t>Se realizo el brief publicitario para las  campañas comerciales de LOTIN: 
-LOTIBINGO: 15 de Octubre 2018, y   
-LOTINAVIDAD: 7 de diciembre 2018</t>
  </si>
  <si>
    <t>El avance corresponde al período de septiembre a diciembre:
En el mes de diciembre se le dio continuidad a la estrategia de mostrar ganadores de las promociones de Megalote y Lotibingo en medios prensa escrita, EDH, LPG, MÁS Y MI CHERO para resaltar la credibilidad de la institución con la entrega de premios.</t>
  </si>
  <si>
    <t>0% de avance en este indicador en el periodo informado.</t>
  </si>
  <si>
    <t>El avance de este objetivo al mes de diciembre fue de el 50% de avance.</t>
  </si>
  <si>
    <t>Según informe, en los meses de septiembre a diciembre,   la venta de LOTIN fue de 27,263 libretas que representa el 100% de la meta programada.</t>
  </si>
  <si>
    <t>Agasajo navideño, una bolsa navideña como incentivo para nuestra fuerza de ventas, aprovechando a su vez entregarles el bono del Especial del Billetero 2018.</t>
  </si>
  <si>
    <t>6. Metrópolis Dic. 18.
'7. "Multicinema Plaza Mundo (apoyo perifoneo)" Dic. 21.
8. Cinemark La Gran Vía, dic. 19.
9. Cinemark Metrocentro, dic. 19.
10. Las Cascadas, dic. 20.
11. "Multicinema Reforma (apoyo perifoneo)"  dic. 19.
Además se participo en la activación de VILLA NAVIDEÑA 2018 del 7 al 16 de diciembre en CIFCO, Sumando 10 activaciones diarias más.</t>
  </si>
  <si>
    <t>0% de avance en período informado</t>
  </si>
  <si>
    <t>De septiembre a diciembre,  se inauguraron 4 puntos de venta:                                          
-Mercado Municipal Zacatecoluca (sept)
-c.c. el encuentro (nov)
-c.c. plaza santa elena (dic.)
-Departamental MINED (oct)</t>
  </si>
  <si>
    <t>Se reclutaron 20 agentes vendedores, en el período de  septiembre a diciembre de 2018.</t>
  </si>
  <si>
    <t>Es de aclarar que durante el mes de noviembre se tuvo un cese en las transacciones de dicha agencia, ya que se tiene en revisión dicho convenio.</t>
  </si>
  <si>
    <t>Se realizaron reuniones informativas con  todo el personal de agencias y los agentes vendedores de las agencias de Santa Ana, San Miguel, San Salvador, y Roosevelt, de los cambios que tendría el producto de Lotin Juego Lotibingo y Lotra los sorteos Megalote.</t>
  </si>
  <si>
    <t>0% de avance de este indicador  en el período informado.</t>
  </si>
  <si>
    <t>No se efectuó examen al cumplimiento de la PAA 2018, debido a que el Jefe UFI no envió a esta unidad informe de Ahorros del segundo trimestre de abril a junio de 2018, el cual le fue solicitado a través de Memorándum AI-158/2018 de fecha 31-07-2018.</t>
  </si>
  <si>
    <t>Se obtuvo una rentabilidad sobre los depósitos de US$65,499.00 correspondiente a los meses de  septiembre a diciembre de 2018.</t>
  </si>
  <si>
    <t>Al mes de diciembre se tiene una rentabilidad sobre la disponibilidad   de US$175,776.00.</t>
  </si>
  <si>
    <t xml:space="preserve">10 días de tiempo promedio de respuesta a las solicitudes de la ciudadanía en los meses de septiembre a diciembre de 2018. </t>
  </si>
  <si>
    <t>Se realizaron 21 activaciones en los puntos de ventas para impulsar las ventas:
EN KIOSCOS del 11 al 19 de diciembre con la dinámica del Globo Regalón y Tómbola
1. Plaza Merliot nivel 1, dic. 11.
2. Plaza Merliot nivel food court dic.11.
3. Metrocentro 4ta. etapa dic. 14.
4. Galerías Escalón 2do. nivel dic. 14.
5. Galerías Escalón 1er. nivel dic. 14.</t>
  </si>
  <si>
    <t>Se aprobó la propuesta por Junta Directiva en el mes de noviembre de 2018.</t>
  </si>
  <si>
    <t xml:space="preserve">Se implemento una dinámica nueva denominada encuentra tus números, así como el uso de una plataforma tecnológica para raspar digitalmente. </t>
  </si>
  <si>
    <t>En el informe no se detalla los agentes vendedores reclutados.</t>
  </si>
  <si>
    <t xml:space="preserve">En el mes de septiembre se realizó la inauguró la agencia La Esperanza (San Salvador), lo que permitió que nuestra fuerza de ventas tuviera diferentes alternativas para poder realizar sus compras de producto. </t>
  </si>
  <si>
    <t>0% de avance de este objetivo al mes de agosto en este objetivo.</t>
  </si>
  <si>
    <t>Objetivo cumplido en período de julio de 2018.</t>
  </si>
  <si>
    <t>No se puedo asistir a las convocatorias ya que los responsables son los encargados de agencia y los días de reunión son los miércoles día de mayor movimiento de operaciones.</t>
  </si>
  <si>
    <t>Se tiene contemplada a nivel de proyectos acciones de emprendedurismo, en las que algunas de las acciones llevan un costo para poder ejecutarlas. Ya se ha tenido reuniones con algunos grupos de personas emprendedoras para poder formar parte de sus actividades con nuestros productos.</t>
  </si>
  <si>
    <t>Al mes de diciembre de 2018 se público un75% de la Información oficiosa.
Presentó el informe correspondiente a la Dirección Superior.</t>
  </si>
  <si>
    <t>Se autorizó el informe en el mes de septiembre y la audiencia pública fue realizada el 8 de noviembre, en el auditórium de Constru Market, con una participación de 103 asistentes.</t>
  </si>
  <si>
    <t>0% de avance en el período informado d la acción programada.</t>
  </si>
  <si>
    <t xml:space="preserve">Se presento la propuesta  nuevo juego LOTIBINGO para autorización de Junta Directiva. </t>
  </si>
  <si>
    <t xml:space="preserve">El programa fue suspendido temporalmente. Según en  punto VIII.8.1 del acta 3021 de sesión  por Junta Directiva de fecha 03 de mayo de 2018. </t>
  </si>
  <si>
    <t>0% de avance en este indicador en el período informado.</t>
  </si>
  <si>
    <t>La UTL, no presentó el informe correspondiente  al segundo   trimestre y el informe de los meses de septiembre a diciembre  de 2018, debido a que en el período que se informa la unidad se encontraba sin jefe.</t>
  </si>
  <si>
    <t>A partir del mes de mayo, se nombró un nuevo Presidente, lo cual derivó en una serie de cambios en el funcionamiento institucional, entre los cuales se modificó la Estructura Organizativa, que entró en vigencia a partir del 1 de septiembre de 2018, en el mismo sentido ocurrieron rotaciones de personal, que incluyó el movimiento de 7 posiciones gerenciales, por lo cual en el período informado, los esfuerzos del personal del Depto. de Planificación, se enfocaron en  armonizar los Manuales de Organización y de Puesto, así como los planes operativos 2018  y ajuste a los planes operativos 2019, conforme con la nueva Estructura, todo ello mediante la actualización de los referidos documentos con las diferentes unidades organizativas.</t>
  </si>
  <si>
    <t>Según informe, en el período de septiembre a diciembre la venta de LOTRA fue de 370,070 billetes equivalente al 48.26% de una emisión de 780,000 billetes.</t>
  </si>
  <si>
    <t>De enero a diciembre se tiene una venta en LOTRA de 1,161,630  billetes equivalente al 50.17% de una emisión de 2,320,000 billetes.</t>
  </si>
  <si>
    <t xml:space="preserve">Al mes de diciembre se tiene un promedio de venta acumulado  72,624 libretas que equivale al el 90.78% de una emisión de 80,000 libretas e diferentes juegos. </t>
  </si>
  <si>
    <t>Promoción sombrillas, por compra del nuevo producto de Megalote se entregaba  una sombrilla. Se realizó junto a su lanzamiento desde el 31 de octubre de 2018.</t>
  </si>
  <si>
    <t xml:space="preserve">Se presentó la propuesta "MegaLote" con una segunda oportunidad promocional,. </t>
  </si>
  <si>
    <r>
      <rPr>
        <sz val="22"/>
        <rFont val="Arial"/>
        <family val="2"/>
      </rPr>
      <t>Se presento la propuesta "MegaLote" con una segunda oportunidad promocional,</t>
    </r>
    <r>
      <rPr>
        <sz val="22"/>
        <color rgb="FFFF0000"/>
        <rFont val="Arial"/>
        <family val="2"/>
      </rPr>
      <t xml:space="preserve">. </t>
    </r>
  </si>
  <si>
    <t>Se realizo el brief publicitario para las  campañas comerciales de LOTIN: 
-LOTIBINGO: 15 de octubre 2018, y   
-LOTINAVIDAD: 7 de diciembre 2018</t>
  </si>
  <si>
    <t>0% de avance en el período informado, no se realizó  la acción programada.</t>
  </si>
  <si>
    <t>De septiembre a diciembre de 2018, se recibieron  se recibieron 8 solicitudes de información, con un total de  33 Requerimientos,  los cuales fueron gestionados con las siguientes unidades: Gerencia Comercial, Secretario de JD, UACI, Departamento de Mercadeo,  Departamento de Recursos Humanos, UFI, Departamento de Contabilidad, UTL, Departamento de Informática,  Coordinadora de BENA.</t>
  </si>
  <si>
    <t>Al mes de diciembre de 2018, se público un 75% de la Información oficiosa.
Presentó el informe correspondiente a la Dirección Superior.</t>
  </si>
  <si>
    <t>Se realizaron 14 sorteos itinerantes y 
se realizaron 2 sorteo en oficina central.</t>
  </si>
  <si>
    <t>En el sorteo ordinario No.118, Personas desconectaron cable de energía  y se paro el sorteo en un minuto aproximadamente y así como también, en el sorteo navideño  No. 21 se  paro en un minuto debido a que la interventora suplente se atraso en la digitación de la minuta.</t>
  </si>
  <si>
    <t>En el sorteo ordinario No.118, Personas desconectaron cable de energía  y se paro el sorteo en un minuto aproximadamente y así como también en el sorteo navideño  No. 21 se  paro en un minuto debido a que la interventora suplente se atraso en la  digitación de la minuta.</t>
  </si>
  <si>
    <t>Revisión final del Manual de Gestión y Trámite de Correspondencia.
Actualización de los índices documentales, asesorar a las encargadas de archivos de gestión para las transf. doc., Gestiones con áreas  para obtener insumos para los Flujos de expediente documentales. 
6 jornadas de capacitación  a Encargados de archivos y técnicos en el temas archivísticos.</t>
  </si>
  <si>
    <t xml:space="preserve">De los temas programados en el plan de capacitación  en el período se ejecutaron 11 temas: Sistema de Gestión de solicitudes de Información a 2 empleados de UAIP; Foro de la Función Pública a 4 empleados de Presidencia, GDI y RR.HH.y Manejo Positivo del Cambio a 14 empleados de diferentes unidad organizativas, quedando pendientes de ejecución para 2019, 2 temas programados en plan de capacitación 2018 que son: Desarrollo y Admón. aplicaciones en red y Habilidades gerenciales. Adicionalmente a lo programado en el plan y conforme a necesidades institucionales,  se ejecutaron 9 temas: 48 horas en Seguridad y Salud Ocupacional a 1 empleado de Servicios Generales. </t>
  </si>
  <si>
    <t>Se presentó evaluación e informe de los resultados obtenidos de las reuniones a la Gerencia Comercial.</t>
  </si>
  <si>
    <t>INFORME DE SEGUIMIENTO A OBJETIVOS E INDICADORES ESTRATÉGICOS, AÑO  2019</t>
  </si>
  <si>
    <t xml:space="preserve">Ingresos x ventas - Gastos Totales  </t>
  </si>
  <si>
    <t xml:space="preserve">Resultados: enero - abril  2019 </t>
  </si>
  <si>
    <t>Ejecutado enero - abril    2019</t>
  </si>
  <si>
    <t>Programado enero - abril  2019</t>
  </si>
  <si>
    <t>Número de exámenes de auditoria realizados</t>
  </si>
  <si>
    <t>Exámenes realizados</t>
  </si>
  <si>
    <t>Programa suspendido temporalmente.</t>
  </si>
  <si>
    <t>Actualizar y documentar los procesos de la LNB.</t>
  </si>
  <si>
    <t>Porcentaje de avance en la actualización y documentación de los procesos.</t>
  </si>
  <si>
    <t>N° de áreas Funcionales  a las que se  fortaleció las competencias técnicas a graves de la formación/ total de áreas funcionales de la LNB</t>
  </si>
  <si>
    <t>Fortalecer competencias por áreas funcionales para un mejor  desempeño técnico de las  áreas.</t>
  </si>
  <si>
    <t>Número de áreas funcionales a las que se fortaleció las competencias del personal que las conforma.</t>
  </si>
  <si>
    <t>Índice de satisfacción 2018 vrs. Índice de satisfacción 2019</t>
  </si>
  <si>
    <t>Ejecutar acciones  orientadas a mejorar en un 10%  el Índice de satisfacción  interno respecto a la práctica de Valores y el clima laboral.</t>
  </si>
  <si>
    <t>Índice de Satisfacción.</t>
  </si>
  <si>
    <t>Finalizar proceso de migración de servidor de aplicaciones y reportes del sistema comercial y sorteo LNB.</t>
  </si>
  <si>
    <t>(Número de intrusiones contenidas/ Números de intentos de intrusión)*100</t>
  </si>
  <si>
    <t>(Número de intentos de infección detenidos/Número total de intentos de infección)*100</t>
  </si>
  <si>
    <t>Solución implementada</t>
  </si>
  <si>
    <t>(%ejecutado/%programado)*100%</t>
  </si>
  <si>
    <t>Implementar la Gestión Documental y archivo de la LNB.</t>
  </si>
  <si>
    <t>Porcentaje de avance en la implementación de la Gestión Documental y Archivo.</t>
  </si>
  <si>
    <t>(Porcentaje ejecutado/porcentaje programado) x100</t>
  </si>
  <si>
    <t xml:space="preserve">Número de días de tiempo de respuestas </t>
  </si>
  <si>
    <t>Avance en la sistematización de procesos de apoyo.</t>
  </si>
  <si>
    <t>Percepción de la imagen de la ciudadanía.</t>
  </si>
  <si>
    <t>Ahorro en costos operativos.</t>
  </si>
  <si>
    <t>Desarrollar acciones  para dar a conocer  los juegos de azar.</t>
  </si>
  <si>
    <t xml:space="preserve">Participar activamente en los Gabinetes de Gestión Departamental.  </t>
  </si>
  <si>
    <t>Número de reuniones efectuadas.</t>
  </si>
  <si>
    <t>Porcentaje de avance en la mejora de los procesos de LNB.</t>
  </si>
  <si>
    <t>Número de consumidores potenciales convertidos a consumidor final.</t>
  </si>
  <si>
    <t>Porcentaje de  aceptación de  juegos de azar.</t>
  </si>
  <si>
    <t>Sostenimiento de Canales existentes.</t>
  </si>
  <si>
    <t>Sostenimiento de  puntos de ventas aperturados.</t>
  </si>
  <si>
    <t>Implementar sitio de contingencia de TI.</t>
  </si>
  <si>
    <t>Fortalecer la seguridad de la información de los sistemas LNB.</t>
  </si>
  <si>
    <t>Efectividad contra infecciones a los sistemas de la LNB.</t>
  </si>
  <si>
    <t>Sitio de contingencia  de TI implementado.</t>
  </si>
  <si>
    <t>Solución de firewall y auditoría de base de datos del sistema comercial y sorteo implementado.</t>
  </si>
  <si>
    <t>Número de acciones realizadas.</t>
  </si>
  <si>
    <t xml:space="preserve">Automatizar  algunos procesos de las diferentes áreas. </t>
  </si>
  <si>
    <t>PV. aperturados</t>
  </si>
  <si>
    <t>Verificar el cumplimiento de la PAA 2019 de la LNB.</t>
  </si>
  <si>
    <t>Número de nuevos  juegos de Lotería.</t>
  </si>
  <si>
    <t xml:space="preserve">Número de  campañas  publicitarias realizadas.    </t>
  </si>
  <si>
    <t>70%   de venta mensual de billetes de Lotería</t>
  </si>
  <si>
    <t>Número de nuevas agencias inauguradas en el 2018.</t>
  </si>
  <si>
    <t>GCO-1103</t>
  </si>
  <si>
    <t>Realizar promociones para vendedores  para incentivar  las ventas.</t>
  </si>
  <si>
    <t>Número de promociones implementadas para Vendedores.</t>
  </si>
  <si>
    <t>Realizar  activaciones de productos en todo el territorio nacional orientadas a incentivar al consumidor final.</t>
  </si>
  <si>
    <t>Incrementar la fuerza de ventas.</t>
  </si>
  <si>
    <t>Ampliar la cobertura de puntos de venta en todo el país.</t>
  </si>
  <si>
    <t>Fortalecer  el sistema de comunicación que contribuya a la promoción de la imagen Institucional.</t>
  </si>
  <si>
    <t>Grado de avance en la actualización del equipo.</t>
  </si>
  <si>
    <t>GCO-01102</t>
  </si>
  <si>
    <t>Se obtuvo una rentabilidad sobre los depósitos de US$60,793.00 correspondiente a los meses de  enero a abril de 2019.</t>
  </si>
  <si>
    <t>----</t>
  </si>
  <si>
    <t>Indicador no programado al mes informado.</t>
  </si>
  <si>
    <t>Presidencia no autorizó iniciar este proceso en este semestre y dio la indicación de someterlo a consideración de las nuevas autoridades que  lleguen en el mes de junio 2019.</t>
  </si>
  <si>
    <t xml:space="preserve">Se lanzaron 3 campañas:  BINGO Cash 2: 11 de enero 2019;  (Campaña interna y redes sociales) 
LOTIBINGO II, el  20 de febrero  2019; y                                                                                                  VACACIONES CON PISTO el 21  de marzo 2019  (Campaña interna y redes sociales) </t>
  </si>
  <si>
    <t xml:space="preserve">                                                                                                            </t>
  </si>
  <si>
    <t>Se realizó el requerimiento en el mes de marzo a  UACI. En espera aún de la aprobación de Presidencia.</t>
  </si>
  <si>
    <t>Según informe, de enero a abril se reclutaron  40 nuevos agentes vendedores inscritos.</t>
  </si>
  <si>
    <t xml:space="preserve">Se realizó divulgación  a través de reuniones informativas con el personal de agencias y agentes vendedores para hacer la presentación de los nuevos juegos que se realizaron en la primera semana del mes de abril de 2019. </t>
  </si>
  <si>
    <t>No se tuvieron incidentes de intrusión a los sistemas LNB.</t>
  </si>
  <si>
    <t>No se tuvieron incidentes de infección a los sistemas LNB.</t>
  </si>
  <si>
    <t>Presidencia no autorizó iniciar este proceso en este semestre y dio la indicación de someterlo a consideración de las nuevas autoridades que lleguen en el mes de junio 2019.</t>
  </si>
  <si>
    <t>11.4 días de tiempo promedio de respuesta a las solicitudes de la ciudadanía en los meses de enero a  abril de 2019.</t>
  </si>
  <si>
    <t>Se realizó divulgación  a través de reuniones informativas agentes vendedores para hacer la presentación de los nuevos juegos que se realizaron en la primera semana del mes de abril de 2019.</t>
  </si>
  <si>
    <t>Número de examenes programados/ número de examenes ejecutados)x100</t>
  </si>
  <si>
    <t>Nivel de cumplimiento</t>
  </si>
  <si>
    <t>Clasificación</t>
  </si>
  <si>
    <t>Estado</t>
  </si>
  <si>
    <t>De 0% a 50%</t>
  </si>
  <si>
    <t>De 50.01% a 80%</t>
  </si>
  <si>
    <t>De 80.01% a 100%</t>
  </si>
  <si>
    <t>Nivel Bajo</t>
  </si>
  <si>
    <t>Nivel Medio</t>
  </si>
  <si>
    <t>Nivel Alto o Aceptable</t>
  </si>
  <si>
    <t>Crítico</t>
  </si>
  <si>
    <t>Alarma</t>
  </si>
  <si>
    <t>Aceptable</t>
  </si>
  <si>
    <t>Se inauguraron dos nuevos puntos de venta: Centro Comercial San Gabriel y en avenida la Capilla San Benito y se reaperturo el punto de venta del RNPN.</t>
  </si>
  <si>
    <t>Se realizó la inducción y capacitación a los nuevos agentes vendedores.</t>
  </si>
  <si>
    <t>En el período de enero a abril de 2019,  se obtuvo una utilidad de operación en LOTRA y LOTIN de US$835,660.00.</t>
  </si>
  <si>
    <t>Se realizó comunicación interna:   WhatsApp y correo electrónico: (Donde se mandan desde felicitaciones de cumpleaños, actividades de recursos humanos, mensajes de informática, horarios y créditos de la despensa, informando reuniones con presidencia, etc. a personal interno; y Comunicación Externa: sobre los sorteos, lanzamientos de nuevos juegos, números ganadores, respuesta a consultas, etc.</t>
  </si>
  <si>
    <t>No se recibió convocatoria de Presidencia que hace el Ministerio de Gobernación.</t>
  </si>
  <si>
    <t>Se revisaron y actualizaron de  documentos siguientes:
-Instructivo de fondo circulante.
-Procedimientos para la administración del fondo circulante.
-Manual para la administración de riesgos de la LNB en el mes de febrero con Gerente de Desarrollo.
-Política institucional de medio ambiente de la LNB, con sugerencias del Ministerio de Medio Ambiente.
-Manual de gestión y trámite de correspondencia.
Asimismo, se crearon las guías de LOTÍN siguientes: 
-BINGO CASH II (enero),
-LOTIBINGO II (febrero),
-VACACIONES CON PISTO (marzo), y
-LA OLLA DE LA SUERTE (abril).</t>
  </si>
  <si>
    <t>Según informe, en el período de enero a abril la venta de LOTRA fue de  426,960 billetes equivalente al 58.49% de una emisión de 730,000 billetes.</t>
  </si>
  <si>
    <t>De enero a abril,   la venta de LOTIN fue de 32,720  libretas que representa el 79.28% en ventas, con una emisión de 41,269 libretas lanzadas al mercado.</t>
  </si>
  <si>
    <t>Se aperturó  un nuevo canal Tiendas Galo en Usulután con un total de 6 nuevas puntos y se capacito al personal a cargo siendo un total de 12 personas.</t>
  </si>
  <si>
    <t>El 11 de marzo 2019, se lanza la    Campaña publicitaria denominada "SORTEOS".</t>
  </si>
  <si>
    <t>En el mes de marzo 2019, se lanzo Campaña denominada "ROMPIMOS EL MOLDE"- EXTRAORDINARIO N°182.</t>
  </si>
  <si>
    <t>No ha  habido disponibilidad de tiempo con solo dos analistas programadores para atender otros requerimientos diferentes al área comercial.</t>
  </si>
  <si>
    <t>El tema fue del juego combinado y sorteo Extraordinario (2 de abril en San Salvador y Roosevelt;  4 abril Santa Ana y Sonsonate; 5 de abril en San Miguel y Usulután, y el 8 de abril en Cojutepeque).</t>
  </si>
  <si>
    <t>En el período reportado se han recibido un total de 11 solicitudes, con un total de 18 requerimientos.
De las 11 solicitudes, 7 eran solicitudes de acceso a información pública, 3 de Información confidencial en específico de datos personales y 1 era una gestión de trámite que no es competencia de la LNB.</t>
  </si>
  <si>
    <t>De las gestiones antes citadas, las únicas áreas que han entregado información son: UFI, Gerencia Administrativa,  UPEGMA,  Recursos Humanos y la  Gerencia Comercial de forma parcial. Dicha información fue colocada en el portal de forma inmediata.</t>
  </si>
  <si>
    <t>No se ha  gestionado la solicitud de la  información a las unidades administrativas.</t>
  </si>
  <si>
    <t>Se realizaron 8 sorteos itinerantes en  centros comerciales y 7 sorteos en oficina central, correspondiente al período de enero a abril de 2019.
-público  asistente a los sorteos:
enero: 215,
febrero: 157,
marzo: 227  y
abril: 164.</t>
  </si>
  <si>
    <t>En los 15 sorteos realizados en el período, se reportaron 6 incidentes relacionados con: 
En el sorteo extraordinario No.181, fue necesario detener el desarrollo del sorteo por 2 minutos, en vista que el micrófono de diadema de la persona que canta los premios quedó sin audio. A partir de ello, se tomo como medida de mejora cambiar cada dos sorteos las baterías de los micrófonos.
En el sorteo ordinario No. 125, se detuvo el desarrollo del sorteo un minuto porque se tuvo que mover la tómbola debido al sol. 
En el sorteo ordinario No.129, se detuvo el sorteo por 2 minutos por desperfectos en  la cámara. Se tomó como medida, utilizar la cámara de contingencia en el momento y  brindar el mantenimiento correctivo a la cámara de aire.</t>
  </si>
  <si>
    <t>El sorteo 131, se detuvo el sorteo por un minuto porque una de las pantallas se le fue la imagen. Se resolvió el incidente colocando nuevos cables de conexiones.
El sorteo 132, se detuvo por 2 minutos  porque una persona del público, intento ingresar a la pantalla. Se adopto como medida, desactivar a la pantalla la función de acceso de dispositivos móviles.
En el sorteo 134,  cuando estaba por finalizar, se detuvo 11 minutos por desperfectos de la cámara de aire. Se tomó como medida en el momento, cambiar el set de balotas y dar a la cámara posteriormente el mantenimiento correctivo. En el sorteo extraordinario 182, se detuvo el sorteo en un minuto, por  interferencia en uno de los micrófonos inalámbrico. Se tomo como medida, cantar nuevamente el número y premio que había caído al azar.</t>
  </si>
  <si>
    <t xml:space="preserve">Se elaboró Manual de Gestión y Trámite de Correspondencia en proceso de autorización, avance en la elaboración del Índice Legislativo; se realizaron además 3 inspecciones en los archivos de gestión. Presenta porcentaje bajo por la falta de tiempo para elaborar normativa, por estar la Licda. Leonor Ruiz, como responsable de la Gerencia Administrativa de manera interina, desde el mes de diciembre de 2018 al mes de marzo de 2019. </t>
  </si>
  <si>
    <t>Se efectuaron  15 entrenamientos en el puesto de trabajo a las encargadas de archivos de gestión y personal técnico, para la organización de los archivos y elaboración de inventarios documentales.</t>
  </si>
  <si>
    <t xml:space="preserve">Se elaboró el Plan de Trabajo del archivo central del año 2019. </t>
  </si>
  <si>
    <t>Desarrollo de procesos archivísticos: expurgo, identificación, clasificación y descripción documental,  organizando los expedientes de personal  en 32 cajas; 5 áreas organizativas han realizado transferencias documentales al archivo central y 11 préstamos documentales. El nivel de avance en la organización del fondo documental acumulado es bajo por la falta de recurso humano para esta labor.</t>
  </si>
  <si>
    <t>Se impartieron 2 eventos de capacitación:
Se desarrolló un evento de capacitación sobre Derecho Administrativo con facilitador interno, al cual asistieron 24 empleados de nivel gerencial y jefaturas de unidad y jefes de departamento y se impartió la capacitación sobre la Ley de Procedimientos Administrativos y la LAIP, al cual asistió un empleado de la UAIP.</t>
  </si>
  <si>
    <t>Se presentó Plan de Capacitación para el año 2019.</t>
  </si>
  <si>
    <t>Se presentó a la Dirección Superior el Plan de Acción para mejorar el índice de satisfacción sobre la práctica de valores y clima organizacional en la LNB;  el cual se encuentra pendiente de ser autorizado.</t>
  </si>
  <si>
    <t>El tema fue juego combinado y sorteo Extraordinario (2 de abril en  San Salvador y Roosevelt;  4 abril Santa Ana y Sonsonate; 5 de abril en San Miguel y Usulután, y el 8 de abril en Cojutepeque)</t>
  </si>
  <si>
    <t>PERÍODO QUE SE INFORMA: ENERO A ABRIL DE 2019</t>
  </si>
  <si>
    <t>No se ha efectuado examen al cumplimiento de la PAA 2019, debido a que el Jefe UFI no envió a esta Unidad, el Informe de ahorros del cuarto trimestre de 2018, ni el informe del primer trimestre de  2019, los cuales fueron  solicitados a través de Memorándum UAI.ME.092/2019 de fecha 29/04/2019.</t>
  </si>
  <si>
    <t xml:space="preserve">Ejecutado a abril 2019 </t>
  </si>
  <si>
    <t>Programado a abril  2019</t>
  </si>
  <si>
    <t xml:space="preserve">Acumulado a: abril 2019 </t>
  </si>
  <si>
    <t>Se realizaron 13 activaciones en kioscos y sorteo con la dinámica del Globo Regalón y mupi digital.
23/01/2019 C.C. Soho Cascadas Globo regalón;
30/01/2019 Plaza Merliot,  globo regalón; 
20/02/2019 Metrocentro S.S. mupi digital;
02/03/2019 Metrópolis con mupi digital;
'09/03/2019 Alta Vista con mupi digital;</t>
  </si>
  <si>
    <t xml:space="preserve">Propuestas presentadas para autorización de Presidencia:
-Manual para la administración de riesgos de la LNB (febrero).
-Manual de gestión y trámite de correspondencia (febrero)
-Manuales de organización y puestos, presentados  (enero y febrero)
-Instructivo de fondo circulante (febrero)
-Procedimientos para la administración del fondo circulante (febrero)
-Política institucional de medio ambiente de la LNB (marzo)
Se remitieron para autorización las guías de LOTÍN siguientes: 
-BINGO CASH II (enero),
-LOTIBINGO II (febrero),
-VACACIONES CON PISTO (marzo), y
-LA OLLA DE LA SUERTE (abril). </t>
  </si>
  <si>
    <t xml:space="preserve">Indicador no programado al mes informado. </t>
  </si>
  <si>
    <t xml:space="preserve">13/03/2019 Metrocentro S.S. con mupi digital;
16/03/2019 Unicentro Soyapango, con mupi digital;
20/03/2019 Plaza Merliot, con mupi digital;
23/03/2019 Santa Ana, con mupi digital;
27/03/2019 Plaza Merliot, con mupi digital;
06/04/2019 Metrocentro San Miguel, con mupi digital;
13/04/2019 La Joya, con mupi digital; y
24/04/2019 C.C. Soho Cascadas, con mupi digital. </t>
  </si>
  <si>
    <t xml:space="preserve">Acumulado a: junio 2019 </t>
  </si>
  <si>
    <t xml:space="preserve">Resultados: mayo - junio 2019 </t>
  </si>
  <si>
    <t>Programado mayo - junio  2019</t>
  </si>
  <si>
    <t>Ejecutado mayo - junio 2019</t>
  </si>
  <si>
    <t>Programado a  junio  2019</t>
  </si>
  <si>
    <t xml:space="preserve">Ejecutado a junio 2019 </t>
  </si>
  <si>
    <t>PERÍODO QUE SE INFORMA: MAYO Y JUNIO DE 2019</t>
  </si>
  <si>
    <t>Porcentaje de avance en la implementación del Sistema Institucional de Archivo (SIA).</t>
  </si>
  <si>
    <t>Número de exámenes programados/ número de examenes ejecutados)x100</t>
  </si>
  <si>
    <t>100%  de  venta mensual de libretas de LOTIN.</t>
  </si>
  <si>
    <t>Porcentaje de avance  en la  implementación del sistema de comunicación interna y externa.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</si>
</sst>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_(&quot;$&quot;* \(#,##0.00\);_(&quot;$&quot;* &quot;-&quot;??_);_(@_)"/>
    <numFmt numFmtId="43" formatCode="_(* #,##0.00_);_(* \(#,##0.00\);_(* &quot;-&quot;??_);_(@_)"/>
    <numFmt numFmtId="164" formatCode="0.0"/>
    <numFmt numFmtId="165" formatCode="0.0%"/>
    <numFmt numFmtId="166" formatCode="0.000"/>
    <numFmt numFmtId="167" formatCode="0.000%"/>
    <numFmt numFmtId="168" formatCode="0.0000%"/>
  </numFmts>
  <fonts count="55" x14ac:knownFonts="1">
    <font>
      <sz val="11"/>
      <color theme="1"/>
      <name val="Calibri"/>
      <family val="2"/>
      <scheme val="minor"/>
    </font>
    <font>
      <sz val="11"/>
      <color theme="1"/>
      <name val="Calibri"/>
      <family val="2"/>
      <scheme val="minor"/>
    </font>
    <font>
      <sz val="11"/>
      <name val="Calibri"/>
      <family val="2"/>
    </font>
    <font>
      <b/>
      <sz val="17"/>
      <name val="Calibri"/>
      <family val="2"/>
    </font>
    <font>
      <b/>
      <sz val="18"/>
      <name val="Calibri"/>
      <family val="2"/>
    </font>
    <font>
      <b/>
      <sz val="16"/>
      <name val="Calibri"/>
      <family val="2"/>
    </font>
    <font>
      <b/>
      <sz val="14"/>
      <name val="Calibri"/>
      <family val="2"/>
    </font>
    <font>
      <b/>
      <sz val="16"/>
      <color theme="1"/>
      <name val="Calibri"/>
      <family val="2"/>
    </font>
    <font>
      <b/>
      <sz val="16"/>
      <name val="Calibri"/>
      <family val="2"/>
      <scheme val="minor"/>
    </font>
    <font>
      <b/>
      <sz val="14"/>
      <color theme="1"/>
      <name val="Calibri"/>
      <family val="2"/>
    </font>
    <font>
      <sz val="11"/>
      <color indexed="8"/>
      <name val="Calibri"/>
      <family val="2"/>
    </font>
    <font>
      <b/>
      <sz val="12"/>
      <name val="Calibri"/>
      <family val="2"/>
    </font>
    <font>
      <sz val="15"/>
      <name val="Arial"/>
      <family val="2"/>
    </font>
    <font>
      <b/>
      <sz val="13"/>
      <name val="Calibri"/>
      <family val="2"/>
    </font>
    <font>
      <sz val="15"/>
      <color rgb="FF0070C0"/>
      <name val="Arial"/>
      <family val="2"/>
    </font>
    <font>
      <b/>
      <sz val="20"/>
      <color indexed="81"/>
      <name val="Tahoma"/>
      <family val="2"/>
    </font>
    <font>
      <sz val="20"/>
      <color indexed="81"/>
      <name val="Tahoma"/>
      <family val="2"/>
    </font>
    <font>
      <b/>
      <sz val="18"/>
      <name val="Calibri"/>
      <family val="2"/>
      <scheme val="minor"/>
    </font>
    <font>
      <sz val="22"/>
      <name val="Calibri"/>
      <family val="2"/>
    </font>
    <font>
      <sz val="10"/>
      <name val="Arial"/>
      <family val="2"/>
    </font>
    <font>
      <sz val="11"/>
      <name val="Arial"/>
      <family val="2"/>
    </font>
    <font>
      <sz val="14"/>
      <name val="Arial"/>
      <family val="2"/>
    </font>
    <font>
      <sz val="16"/>
      <name val="Arial"/>
      <family val="2"/>
    </font>
    <font>
      <sz val="20"/>
      <name val="Arial"/>
      <family val="2"/>
    </font>
    <font>
      <sz val="19"/>
      <name val="Arial"/>
      <family val="2"/>
    </font>
    <font>
      <b/>
      <sz val="20"/>
      <name val="Calibri"/>
      <family val="2"/>
    </font>
    <font>
      <b/>
      <sz val="22"/>
      <name val="Arial"/>
      <family val="2"/>
    </font>
    <font>
      <b/>
      <sz val="10"/>
      <color theme="0"/>
      <name val="Arial"/>
      <family val="2"/>
    </font>
    <font>
      <sz val="22"/>
      <name val="Arial"/>
      <family val="2"/>
    </font>
    <font>
      <b/>
      <sz val="18"/>
      <color theme="1"/>
      <name val="Calibri"/>
      <family val="2"/>
    </font>
    <font>
      <sz val="9"/>
      <color indexed="81"/>
      <name val="Tahoma"/>
      <family val="2"/>
    </font>
    <font>
      <b/>
      <sz val="9"/>
      <color indexed="81"/>
      <name val="Tahoma"/>
      <family val="2"/>
    </font>
    <font>
      <b/>
      <sz val="10"/>
      <name val="Arial"/>
      <family val="2"/>
    </font>
    <font>
      <sz val="22"/>
      <color rgb="FFFF0000"/>
      <name val="Arial"/>
      <family val="2"/>
    </font>
    <font>
      <sz val="10"/>
      <color rgb="FFFF0000"/>
      <name val="Arial"/>
      <family val="2"/>
    </font>
    <font>
      <sz val="21"/>
      <name val="Arial"/>
      <family val="2"/>
    </font>
    <font>
      <sz val="22"/>
      <color theme="8" tint="-0.499984740745262"/>
      <name val="Arial"/>
      <family val="2"/>
    </font>
    <font>
      <sz val="21.5"/>
      <name val="Arial"/>
      <family val="2"/>
    </font>
    <font>
      <sz val="22"/>
      <color rgb="FF002060"/>
      <name val="Arial"/>
      <family val="2"/>
    </font>
    <font>
      <b/>
      <sz val="22"/>
      <color rgb="FFFF0000"/>
      <name val="Arial"/>
      <family val="2"/>
    </font>
    <font>
      <sz val="16"/>
      <color rgb="FF0070C0"/>
      <name val="Arial"/>
      <family val="2"/>
    </font>
    <font>
      <sz val="16"/>
      <color rgb="FF002060"/>
      <name val="Arial"/>
      <family val="2"/>
    </font>
    <font>
      <sz val="20"/>
      <color rgb="FF002060"/>
      <name val="Arial"/>
      <family val="2"/>
    </font>
    <font>
      <sz val="19"/>
      <color rgb="FF002060"/>
      <name val="Arial"/>
      <family val="2"/>
    </font>
    <font>
      <sz val="16"/>
      <color rgb="FF00B050"/>
      <name val="Arial"/>
      <family val="2"/>
    </font>
    <font>
      <sz val="16"/>
      <color rgb="FFFF0000"/>
      <name val="Arial"/>
      <family val="2"/>
    </font>
    <font>
      <sz val="20"/>
      <color rgb="FFFF0000"/>
      <name val="Arial"/>
      <family val="2"/>
    </font>
    <font>
      <sz val="11"/>
      <color rgb="FFFF0000"/>
      <name val="Arial"/>
      <family val="2"/>
    </font>
    <font>
      <sz val="20"/>
      <color theme="1"/>
      <name val="Arial"/>
      <family val="2"/>
    </font>
    <font>
      <sz val="16"/>
      <color theme="1"/>
      <name val="Arial"/>
      <family val="2"/>
    </font>
    <font>
      <b/>
      <sz val="18"/>
      <color indexed="81"/>
      <name val="Tahoma"/>
      <family val="2"/>
    </font>
    <font>
      <sz val="12"/>
      <color theme="1"/>
      <name val="Calibri"/>
      <family val="2"/>
      <scheme val="minor"/>
    </font>
    <font>
      <sz val="12"/>
      <color theme="0"/>
      <name val="Calibri"/>
      <family val="2"/>
      <scheme val="minor"/>
    </font>
    <font>
      <sz val="28"/>
      <color rgb="FF002060"/>
      <name val="Arial"/>
      <family val="2"/>
    </font>
    <font>
      <sz val="28"/>
      <name val="Arial"/>
      <family val="2"/>
    </font>
  </fonts>
  <fills count="12">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s>
  <borders count="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6">
    <xf numFmtId="0" fontId="0" fillId="0" borderId="0"/>
    <xf numFmtId="9" fontId="1"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4" fontId="1" fillId="0" borderId="0" applyFont="0" applyFill="0" applyBorder="0" applyAlignment="0" applyProtection="0"/>
    <xf numFmtId="0" fontId="19" fillId="0" borderId="0"/>
  </cellStyleXfs>
  <cellXfs count="1147">
    <xf numFmtId="0" fontId="0" fillId="0" borderId="0" xfId="0"/>
    <xf numFmtId="0" fontId="2" fillId="2" borderId="0" xfId="0" applyFont="1" applyFill="1"/>
    <xf numFmtId="0" fontId="3" fillId="2" borderId="0" xfId="0" applyFont="1" applyFill="1"/>
    <xf numFmtId="0" fontId="2" fillId="2" borderId="0" xfId="0" applyFont="1" applyFill="1" applyAlignment="1">
      <alignment horizontal="justify" vertical="center"/>
    </xf>
    <xf numFmtId="0" fontId="2" fillId="2" borderId="0" xfId="0" applyFont="1" applyFill="1" applyAlignment="1">
      <alignment textRotation="90"/>
    </xf>
    <xf numFmtId="0" fontId="2" fillId="2" borderId="0" xfId="0" applyFont="1" applyFill="1" applyAlignment="1">
      <alignment horizontal="center"/>
    </xf>
    <xf numFmtId="0" fontId="2" fillId="0" borderId="0" xfId="0" applyFont="1"/>
    <xf numFmtId="0" fontId="5" fillId="2" borderId="0" xfId="0" applyFont="1" applyFill="1" applyAlignment="1">
      <alignment horizontal="center" vertical="center" wrapText="1"/>
    </xf>
    <xf numFmtId="0" fontId="6" fillId="3" borderId="0" xfId="0" applyFont="1" applyFill="1" applyBorder="1" applyAlignment="1">
      <alignment horizontal="center" vertical="center" wrapText="1"/>
    </xf>
    <xf numFmtId="0" fontId="6" fillId="2" borderId="0" xfId="0" applyFont="1" applyFill="1" applyBorder="1" applyAlignment="1">
      <alignment horizontal="center" vertical="center"/>
    </xf>
    <xf numFmtId="0" fontId="9" fillId="2" borderId="0" xfId="0" applyFont="1" applyFill="1" applyBorder="1" applyAlignment="1">
      <alignment horizontal="center" vertical="center" wrapText="1"/>
    </xf>
    <xf numFmtId="9" fontId="12" fillId="2" borderId="0" xfId="0" applyNumberFormat="1" applyFont="1" applyFill="1" applyBorder="1" applyAlignment="1">
      <alignment horizontal="center" vertical="center" wrapText="1"/>
    </xf>
    <xf numFmtId="9" fontId="12" fillId="0" borderId="0" xfId="0" applyNumberFormat="1" applyFont="1" applyFill="1" applyBorder="1" applyAlignment="1">
      <alignment horizontal="center" vertical="center" wrapText="1"/>
    </xf>
    <xf numFmtId="2" fontId="12" fillId="0" borderId="0" xfId="0" applyNumberFormat="1" applyFont="1" applyFill="1" applyBorder="1" applyAlignment="1">
      <alignment horizontal="center" vertical="center" wrapText="1"/>
    </xf>
    <xf numFmtId="49" fontId="12" fillId="0" borderId="9" xfId="3" applyNumberFormat="1" applyFont="1" applyFill="1" applyBorder="1" applyAlignment="1">
      <alignment horizontal="center" vertical="center" wrapText="1"/>
    </xf>
    <xf numFmtId="49" fontId="12" fillId="0" borderId="9" xfId="0" applyNumberFormat="1" applyFont="1" applyFill="1" applyBorder="1" applyAlignment="1">
      <alignment horizontal="center" vertical="center" wrapText="1"/>
    </xf>
    <xf numFmtId="49" fontId="12" fillId="0" borderId="4" xfId="0" applyNumberFormat="1" applyFont="1" applyFill="1" applyBorder="1" applyAlignment="1">
      <alignment horizontal="center" vertical="center" wrapText="1"/>
    </xf>
    <xf numFmtId="164" fontId="12" fillId="0" borderId="0" xfId="0" applyNumberFormat="1" applyFont="1" applyFill="1" applyBorder="1" applyAlignment="1">
      <alignment horizontal="center" vertical="center" wrapText="1"/>
    </xf>
    <xf numFmtId="49" fontId="12" fillId="2" borderId="9" xfId="0" applyNumberFormat="1" applyFont="1" applyFill="1" applyBorder="1" applyAlignment="1">
      <alignment horizontal="center" vertical="center" wrapText="1"/>
    </xf>
    <xf numFmtId="49" fontId="12" fillId="0" borderId="8" xfId="0" applyNumberFormat="1" applyFont="1" applyFill="1" applyBorder="1" applyAlignment="1">
      <alignment horizontal="center" vertical="center" wrapText="1"/>
    </xf>
    <xf numFmtId="9" fontId="14" fillId="2" borderId="0" xfId="0" applyNumberFormat="1" applyFont="1" applyFill="1" applyBorder="1" applyAlignment="1">
      <alignment horizontal="center" vertical="center" wrapText="1"/>
    </xf>
    <xf numFmtId="9" fontId="14" fillId="0" borderId="0" xfId="0" applyNumberFormat="1" applyFont="1" applyFill="1" applyBorder="1" applyAlignment="1">
      <alignment horizontal="center" vertical="center" wrapText="1"/>
    </xf>
    <xf numFmtId="9" fontId="12" fillId="2" borderId="0" xfId="3" applyFont="1" applyFill="1" applyBorder="1" applyAlignment="1">
      <alignment horizontal="center" vertical="center" wrapText="1"/>
    </xf>
    <xf numFmtId="9" fontId="12" fillId="0" borderId="0" xfId="3" applyFont="1" applyFill="1" applyBorder="1" applyAlignment="1">
      <alignment horizontal="center" vertical="center" wrapText="1"/>
    </xf>
    <xf numFmtId="9" fontId="14" fillId="2" borderId="0" xfId="3" applyFont="1" applyFill="1" applyBorder="1" applyAlignment="1">
      <alignment horizontal="center" vertical="center" wrapText="1"/>
    </xf>
    <xf numFmtId="9" fontId="14" fillId="0" borderId="0" xfId="3" applyFont="1" applyFill="1" applyBorder="1" applyAlignment="1">
      <alignment horizontal="center" vertical="center" wrapText="1"/>
    </xf>
    <xf numFmtId="0" fontId="2" fillId="2" borderId="0" xfId="0" quotePrefix="1" applyFont="1" applyFill="1"/>
    <xf numFmtId="9" fontId="2" fillId="2" borderId="0" xfId="0" applyNumberFormat="1" applyFont="1" applyFill="1" applyBorder="1" applyAlignment="1">
      <alignment horizontal="center" vertical="top" wrapText="1"/>
    </xf>
    <xf numFmtId="165" fontId="2" fillId="2" borderId="0" xfId="0" applyNumberFormat="1" applyFont="1" applyFill="1" applyAlignment="1"/>
    <xf numFmtId="0" fontId="3" fillId="0" borderId="0" xfId="0" applyFont="1"/>
    <xf numFmtId="0" fontId="2" fillId="0" borderId="0" xfId="0" applyFont="1" applyAlignment="1">
      <alignment horizontal="justify" vertical="center"/>
    </xf>
    <xf numFmtId="0" fontId="2" fillId="0" borderId="0" xfId="0" applyFont="1" applyAlignment="1">
      <alignment textRotation="90"/>
    </xf>
    <xf numFmtId="0" fontId="2" fillId="0" borderId="0" xfId="0" applyFont="1" applyAlignment="1">
      <alignment horizontal="center"/>
    </xf>
    <xf numFmtId="9" fontId="23" fillId="0" borderId="9" xfId="0" applyNumberFormat="1" applyFont="1" applyFill="1" applyBorder="1" applyAlignment="1">
      <alignment horizontal="justify" vertical="center" wrapText="1"/>
    </xf>
    <xf numFmtId="9" fontId="23" fillId="0" borderId="9" xfId="0" applyNumberFormat="1" applyFont="1" applyFill="1" applyBorder="1" applyAlignment="1">
      <alignment horizontal="center" vertical="center" wrapText="1"/>
    </xf>
    <xf numFmtId="9" fontId="23" fillId="2" borderId="9" xfId="0" applyNumberFormat="1" applyFont="1" applyFill="1" applyBorder="1" applyAlignment="1">
      <alignment horizontal="center" vertical="center" wrapText="1"/>
    </xf>
    <xf numFmtId="1" fontId="23" fillId="0" borderId="9" xfId="0" applyNumberFormat="1" applyFont="1" applyFill="1" applyBorder="1" applyAlignment="1">
      <alignment horizontal="center" vertical="center" wrapText="1"/>
    </xf>
    <xf numFmtId="3" fontId="23" fillId="0" borderId="9" xfId="0" applyNumberFormat="1" applyFont="1" applyFill="1" applyBorder="1" applyAlignment="1">
      <alignment horizontal="center" vertical="center" wrapText="1"/>
    </xf>
    <xf numFmtId="9" fontId="23" fillId="2" borderId="9" xfId="0" applyNumberFormat="1" applyFont="1" applyFill="1" applyBorder="1" applyAlignment="1">
      <alignment horizontal="justify" vertical="center" wrapText="1"/>
    </xf>
    <xf numFmtId="9" fontId="23" fillId="0" borderId="9" xfId="1" applyFont="1" applyFill="1" applyBorder="1" applyAlignment="1">
      <alignment horizontal="center" vertical="center" wrapText="1"/>
    </xf>
    <xf numFmtId="1" fontId="23" fillId="0" borderId="9" xfId="1" applyNumberFormat="1" applyFont="1" applyFill="1" applyBorder="1" applyAlignment="1">
      <alignment horizontal="center" vertical="center" wrapText="1"/>
    </xf>
    <xf numFmtId="9" fontId="23" fillId="0" borderId="9" xfId="3" applyFont="1" applyFill="1" applyBorder="1" applyAlignment="1">
      <alignment horizontal="justify" vertical="center" wrapText="1"/>
    </xf>
    <xf numFmtId="9" fontId="23" fillId="0" borderId="9" xfId="3" applyFont="1" applyFill="1" applyBorder="1" applyAlignment="1">
      <alignment horizontal="center" vertical="center" wrapText="1"/>
    </xf>
    <xf numFmtId="1" fontId="23" fillId="0" borderId="9" xfId="3" applyNumberFormat="1" applyFont="1" applyFill="1" applyBorder="1" applyAlignment="1">
      <alignment horizontal="center" vertical="center" wrapText="1"/>
    </xf>
    <xf numFmtId="9" fontId="22" fillId="0" borderId="9" xfId="0" applyNumberFormat="1" applyFont="1" applyFill="1" applyBorder="1" applyAlignment="1">
      <alignment horizontal="center" vertical="center" wrapText="1"/>
    </xf>
    <xf numFmtId="9" fontId="22" fillId="2" borderId="9" xfId="0" applyNumberFormat="1" applyFont="1" applyFill="1" applyBorder="1" applyAlignment="1">
      <alignment horizontal="center" vertical="center" wrapText="1"/>
    </xf>
    <xf numFmtId="9" fontId="22" fillId="0" borderId="9" xfId="3" applyFont="1" applyFill="1" applyBorder="1" applyAlignment="1">
      <alignment horizontal="center" vertical="center" wrapText="1"/>
    </xf>
    <xf numFmtId="0" fontId="23" fillId="0" borderId="9" xfId="0" applyFont="1" applyFill="1" applyBorder="1" applyAlignment="1">
      <alignment horizontal="justify" vertical="center" wrapText="1"/>
    </xf>
    <xf numFmtId="0" fontId="23" fillId="2" borderId="9" xfId="0" applyFont="1" applyFill="1" applyBorder="1" applyAlignment="1">
      <alignment horizontal="justify" vertical="center" wrapText="1"/>
    </xf>
    <xf numFmtId="9" fontId="24" fillId="0" borderId="9" xfId="0" applyNumberFormat="1" applyFont="1" applyFill="1" applyBorder="1" applyAlignment="1">
      <alignment horizontal="center" vertical="center" wrapText="1"/>
    </xf>
    <xf numFmtId="10" fontId="26" fillId="0" borderId="24" xfId="1" applyNumberFormat="1" applyFont="1" applyBorder="1" applyAlignment="1" applyProtection="1">
      <alignment horizontal="center" vertical="center" wrapText="1"/>
    </xf>
    <xf numFmtId="10" fontId="26" fillId="0" borderId="9" xfId="1" applyNumberFormat="1" applyFont="1" applyBorder="1" applyAlignment="1" applyProtection="1">
      <alignment horizontal="center" vertical="center" wrapText="1"/>
    </xf>
    <xf numFmtId="0" fontId="19" fillId="0" borderId="0" xfId="5"/>
    <xf numFmtId="0" fontId="27" fillId="5" borderId="26" xfId="5" applyFont="1" applyFill="1" applyBorder="1" applyAlignment="1">
      <alignment horizontal="center" vertical="center"/>
    </xf>
    <xf numFmtId="0" fontId="27" fillId="5" borderId="27" xfId="5" applyFont="1" applyFill="1" applyBorder="1" applyAlignment="1">
      <alignment horizontal="center" vertical="center"/>
    </xf>
    <xf numFmtId="0" fontId="27" fillId="5" borderId="24" xfId="5" applyFont="1" applyFill="1" applyBorder="1" applyAlignment="1">
      <alignment horizontal="center" vertical="center" wrapText="1"/>
    </xf>
    <xf numFmtId="0" fontId="20" fillId="0" borderId="28" xfId="5" applyFont="1" applyBorder="1" applyAlignment="1">
      <alignment horizontal="center"/>
    </xf>
    <xf numFmtId="0" fontId="20" fillId="0" borderId="25" xfId="5" applyFont="1" applyBorder="1"/>
    <xf numFmtId="10" fontId="20" fillId="2" borderId="30" xfId="1" applyNumberFormat="1" applyFont="1" applyFill="1" applyBorder="1" applyAlignment="1" applyProtection="1">
      <alignment horizontal="center" vertical="center" wrapText="1"/>
    </xf>
    <xf numFmtId="0" fontId="20" fillId="0" borderId="31" xfId="5" applyFont="1" applyBorder="1"/>
    <xf numFmtId="10" fontId="19" fillId="0" borderId="0" xfId="5" applyNumberFormat="1"/>
    <xf numFmtId="0" fontId="19" fillId="2" borderId="0" xfId="5" applyFill="1"/>
    <xf numFmtId="10" fontId="20" fillId="2" borderId="10" xfId="1" applyNumberFormat="1" applyFont="1" applyFill="1" applyBorder="1" applyAlignment="1" applyProtection="1">
      <alignment horizontal="center" vertical="center" wrapText="1"/>
    </xf>
    <xf numFmtId="10" fontId="20" fillId="2" borderId="8" xfId="1" applyNumberFormat="1" applyFont="1" applyFill="1" applyBorder="1" applyAlignment="1" applyProtection="1">
      <alignment horizontal="center" vertical="center" wrapText="1"/>
    </xf>
    <xf numFmtId="9" fontId="22" fillId="2" borderId="9" xfId="0" applyNumberFormat="1" applyFont="1" applyFill="1" applyBorder="1" applyAlignment="1">
      <alignment vertical="center" wrapText="1"/>
    </xf>
    <xf numFmtId="9" fontId="22" fillId="2" borderId="9" xfId="3" applyFont="1" applyFill="1" applyBorder="1" applyAlignment="1">
      <alignment horizontal="center" vertical="center" wrapText="1"/>
    </xf>
    <xf numFmtId="0" fontId="7" fillId="6" borderId="9"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17" fillId="6" borderId="9" xfId="0" applyFont="1" applyFill="1" applyBorder="1" applyAlignment="1">
      <alignment horizontal="center" vertical="center" wrapText="1"/>
    </xf>
    <xf numFmtId="44" fontId="23" fillId="0" borderId="9" xfId="4" applyFont="1" applyFill="1" applyBorder="1" applyAlignment="1">
      <alignment horizontal="center" vertical="center" wrapText="1"/>
    </xf>
    <xf numFmtId="44" fontId="23" fillId="2" borderId="9" xfId="4" applyFont="1" applyFill="1" applyBorder="1" applyAlignment="1">
      <alignment horizontal="center" vertical="center" wrapText="1"/>
    </xf>
    <xf numFmtId="0" fontId="29" fillId="6" borderId="9" xfId="0" applyFont="1" applyFill="1" applyBorder="1" applyAlignment="1">
      <alignment horizontal="center" vertical="center" wrapText="1"/>
    </xf>
    <xf numFmtId="49" fontId="22" fillId="0" borderId="9" xfId="3" applyNumberFormat="1" applyFont="1" applyFill="1" applyBorder="1" applyAlignment="1">
      <alignment horizontal="center" vertical="center" wrapText="1"/>
    </xf>
    <xf numFmtId="49" fontId="22" fillId="0" borderId="9" xfId="0" applyNumberFormat="1" applyFont="1" applyFill="1" applyBorder="1" applyAlignment="1">
      <alignment horizontal="center" vertical="center" wrapText="1"/>
    </xf>
    <xf numFmtId="49" fontId="22" fillId="0" borderId="4" xfId="0" applyNumberFormat="1" applyFont="1" applyFill="1" applyBorder="1" applyAlignment="1">
      <alignment horizontal="center" vertical="center" wrapText="1"/>
    </xf>
    <xf numFmtId="49" fontId="22" fillId="2" borderId="9" xfId="0" applyNumberFormat="1" applyFont="1" applyFill="1" applyBorder="1" applyAlignment="1">
      <alignment horizontal="center" vertical="center" wrapText="1"/>
    </xf>
    <xf numFmtId="166" fontId="2" fillId="2" borderId="0" xfId="0" applyNumberFormat="1" applyFont="1" applyFill="1"/>
    <xf numFmtId="166" fontId="2" fillId="0" borderId="0" xfId="0" applyNumberFormat="1" applyFont="1"/>
    <xf numFmtId="165" fontId="23" fillId="2" borderId="9" xfId="0" applyNumberFormat="1" applyFont="1" applyFill="1" applyBorder="1" applyAlignment="1">
      <alignment horizontal="center" vertical="center" wrapText="1"/>
    </xf>
    <xf numFmtId="10" fontId="23" fillId="0" borderId="9" xfId="0" applyNumberFormat="1" applyFont="1" applyFill="1" applyBorder="1" applyAlignment="1">
      <alignment horizontal="center" vertical="center" wrapText="1"/>
    </xf>
    <xf numFmtId="9" fontId="14" fillId="0" borderId="0" xfId="0" applyNumberFormat="1" applyFont="1" applyFill="1" applyBorder="1" applyAlignment="1">
      <alignment horizontal="left" vertical="center"/>
    </xf>
    <xf numFmtId="10" fontId="19" fillId="0" borderId="0" xfId="1" applyNumberFormat="1" applyFont="1"/>
    <xf numFmtId="10" fontId="19" fillId="0" borderId="0" xfId="5" applyNumberFormat="1" applyAlignment="1">
      <alignment horizontal="center"/>
    </xf>
    <xf numFmtId="0" fontId="20" fillId="2" borderId="0" xfId="5" applyFont="1" applyFill="1" applyBorder="1" applyAlignment="1">
      <alignment horizontal="center"/>
    </xf>
    <xf numFmtId="0" fontId="20" fillId="2" borderId="0" xfId="5" applyFont="1" applyFill="1" applyBorder="1"/>
    <xf numFmtId="10" fontId="20" fillId="2" borderId="0" xfId="5" applyNumberFormat="1" applyFont="1" applyFill="1" applyBorder="1" applyAlignment="1">
      <alignment horizontal="center" vertical="center"/>
    </xf>
    <xf numFmtId="10" fontId="20" fillId="2" borderId="0" xfId="1" applyNumberFormat="1" applyFont="1" applyFill="1" applyBorder="1" applyAlignment="1">
      <alignment horizontal="center" vertical="center"/>
    </xf>
    <xf numFmtId="10" fontId="23" fillId="2" borderId="9" xfId="0" applyNumberFormat="1" applyFont="1" applyFill="1" applyBorder="1" applyAlignment="1">
      <alignment horizontal="center" vertical="center" wrapText="1"/>
    </xf>
    <xf numFmtId="165" fontId="23" fillId="0" borderId="9" xfId="0" applyNumberFormat="1" applyFont="1" applyFill="1" applyBorder="1" applyAlignment="1">
      <alignment horizontal="center" vertical="center" wrapText="1"/>
    </xf>
    <xf numFmtId="165" fontId="23" fillId="0" borderId="9" xfId="1" applyNumberFormat="1" applyFont="1" applyFill="1" applyBorder="1" applyAlignment="1">
      <alignment horizontal="center" vertical="center" wrapText="1"/>
    </xf>
    <xf numFmtId="10" fontId="23" fillId="0" borderId="9" xfId="1" applyNumberFormat="1" applyFont="1" applyFill="1" applyBorder="1" applyAlignment="1">
      <alignment horizontal="center" vertical="center" wrapText="1"/>
    </xf>
    <xf numFmtId="44" fontId="12" fillId="0" borderId="0" xfId="0" applyNumberFormat="1" applyFont="1" applyFill="1" applyBorder="1" applyAlignment="1">
      <alignment horizontal="center" vertical="center" wrapText="1"/>
    </xf>
    <xf numFmtId="44" fontId="23" fillId="0" borderId="9" xfId="4" applyNumberFormat="1" applyFont="1" applyFill="1" applyBorder="1" applyAlignment="1">
      <alignment horizontal="center" vertical="center" wrapText="1"/>
    </xf>
    <xf numFmtId="0" fontId="32" fillId="2" borderId="0" xfId="5" applyFont="1" applyFill="1" applyAlignment="1">
      <alignment horizontal="right"/>
    </xf>
    <xf numFmtId="44" fontId="23" fillId="0" borderId="4" xfId="4" applyFont="1" applyFill="1" applyBorder="1" applyAlignment="1">
      <alignment vertical="center" wrapText="1"/>
    </xf>
    <xf numFmtId="0" fontId="12" fillId="0" borderId="4" xfId="0" applyFont="1" applyFill="1" applyBorder="1" applyAlignment="1">
      <alignment vertical="center" wrapText="1"/>
    </xf>
    <xf numFmtId="0" fontId="23" fillId="0" borderId="4" xfId="0" applyFont="1" applyFill="1" applyBorder="1" applyAlignment="1">
      <alignment vertical="center" wrapText="1"/>
    </xf>
    <xf numFmtId="9" fontId="22" fillId="0" borderId="4" xfId="3" applyFont="1" applyFill="1" applyBorder="1" applyAlignment="1">
      <alignment vertical="center" textRotation="90" wrapText="1"/>
    </xf>
    <xf numFmtId="49" fontId="22" fillId="0" borderId="4" xfId="3" applyNumberFormat="1" applyFont="1" applyFill="1" applyBorder="1" applyAlignment="1">
      <alignment vertical="center" wrapText="1"/>
    </xf>
    <xf numFmtId="9" fontId="22" fillId="0" borderId="4" xfId="0" applyNumberFormat="1" applyFont="1" applyFill="1" applyBorder="1" applyAlignment="1">
      <alignment vertical="center" wrapText="1"/>
    </xf>
    <xf numFmtId="9" fontId="23" fillId="0" borderId="4" xfId="0" applyNumberFormat="1" applyFont="1" applyFill="1" applyBorder="1" applyAlignment="1">
      <alignment vertical="center" wrapText="1"/>
    </xf>
    <xf numFmtId="9" fontId="22" fillId="0" borderId="9" xfId="0" applyNumberFormat="1" applyFont="1" applyFill="1" applyBorder="1" applyAlignment="1">
      <alignment vertical="center" wrapText="1"/>
    </xf>
    <xf numFmtId="49" fontId="12" fillId="0" borderId="9" xfId="3" applyNumberFormat="1" applyFont="1" applyFill="1" applyBorder="1" applyAlignment="1">
      <alignment vertical="center" wrapText="1"/>
    </xf>
    <xf numFmtId="0" fontId="23" fillId="0" borderId="9" xfId="0" applyFont="1" applyFill="1" applyBorder="1" applyAlignment="1">
      <alignment vertical="center" wrapText="1"/>
    </xf>
    <xf numFmtId="49" fontId="22" fillId="0" borderId="9" xfId="3" applyNumberFormat="1" applyFont="1" applyFill="1" applyBorder="1" applyAlignment="1">
      <alignment vertical="center" wrapText="1"/>
    </xf>
    <xf numFmtId="165" fontId="26" fillId="0" borderId="24" xfId="1" applyNumberFormat="1" applyFont="1" applyBorder="1" applyAlignment="1" applyProtection="1">
      <alignment horizontal="center" vertical="center" wrapText="1"/>
    </xf>
    <xf numFmtId="9" fontId="23" fillId="0" borderId="8" xfId="1" applyNumberFormat="1" applyFont="1" applyFill="1" applyBorder="1" applyAlignment="1">
      <alignment horizontal="center" vertical="center" wrapText="1"/>
    </xf>
    <xf numFmtId="9" fontId="33" fillId="0" borderId="9" xfId="0" quotePrefix="1" applyNumberFormat="1" applyFont="1" applyFill="1" applyBorder="1" applyAlignment="1">
      <alignment horizontal="justify" vertical="center" wrapText="1"/>
    </xf>
    <xf numFmtId="0" fontId="2" fillId="2" borderId="0" xfId="0" applyFont="1" applyFill="1" applyProtection="1"/>
    <xf numFmtId="0" fontId="3" fillId="2" borderId="0" xfId="0" applyFont="1" applyFill="1" applyProtection="1"/>
    <xf numFmtId="0" fontId="2" fillId="2" borderId="0" xfId="0" applyFont="1" applyFill="1" applyAlignment="1" applyProtection="1">
      <alignment horizontal="justify" vertical="center"/>
    </xf>
    <xf numFmtId="0" fontId="2" fillId="2" borderId="0" xfId="0" applyFont="1" applyFill="1" applyAlignment="1" applyProtection="1">
      <alignment textRotation="90"/>
    </xf>
    <xf numFmtId="0" fontId="2" fillId="2" borderId="0" xfId="0" applyFont="1" applyFill="1" applyAlignment="1" applyProtection="1">
      <alignment horizontal="center"/>
    </xf>
    <xf numFmtId="0" fontId="2" fillId="0" borderId="0" xfId="0" applyFont="1" applyProtection="1"/>
    <xf numFmtId="0" fontId="5" fillId="2" borderId="0" xfId="0" applyFont="1" applyFill="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3" borderId="0"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xf>
    <xf numFmtId="0" fontId="9" fillId="2" borderId="0" xfId="0" applyFont="1" applyFill="1" applyBorder="1" applyAlignment="1" applyProtection="1">
      <alignment horizontal="center" vertical="center" wrapText="1"/>
    </xf>
    <xf numFmtId="0" fontId="7" fillId="6" borderId="9" xfId="0" applyFont="1" applyFill="1" applyBorder="1" applyAlignment="1" applyProtection="1">
      <alignment horizontal="center" vertical="center" wrapText="1"/>
    </xf>
    <xf numFmtId="0" fontId="29" fillId="6" borderId="9" xfId="0" applyFont="1" applyFill="1" applyBorder="1" applyAlignment="1" applyProtection="1">
      <alignment horizontal="center" vertical="center" wrapText="1"/>
    </xf>
    <xf numFmtId="0" fontId="8" fillId="6" borderId="4" xfId="0" applyFont="1" applyFill="1" applyBorder="1" applyAlignment="1" applyProtection="1">
      <alignment horizontal="center" vertical="center" wrapText="1"/>
    </xf>
    <xf numFmtId="0" fontId="17" fillId="6" borderId="5" xfId="0" applyFont="1" applyFill="1" applyBorder="1" applyAlignment="1" applyProtection="1">
      <alignment horizontal="center" vertical="center" wrapText="1"/>
    </xf>
    <xf numFmtId="0" fontId="8" fillId="6" borderId="5" xfId="0" applyFont="1" applyFill="1" applyBorder="1" applyAlignment="1" applyProtection="1">
      <alignment horizontal="center" vertical="center" wrapText="1"/>
    </xf>
    <xf numFmtId="0" fontId="17" fillId="6" borderId="9" xfId="0" applyFont="1" applyFill="1" applyBorder="1" applyAlignment="1" applyProtection="1">
      <alignment horizontal="center" vertical="center" wrapText="1"/>
    </xf>
    <xf numFmtId="0" fontId="12" fillId="0" borderId="4" xfId="0" applyFont="1" applyFill="1" applyBorder="1" applyAlignment="1" applyProtection="1">
      <alignment vertical="center" wrapText="1"/>
    </xf>
    <xf numFmtId="0" fontId="23" fillId="0" borderId="4" xfId="0" applyFont="1" applyFill="1" applyBorder="1" applyAlignment="1" applyProtection="1">
      <alignment vertical="center" wrapText="1"/>
    </xf>
    <xf numFmtId="9" fontId="22" fillId="0" borderId="4" xfId="3" applyFont="1" applyFill="1" applyBorder="1" applyAlignment="1" applyProtection="1">
      <alignment vertical="center" textRotation="90" wrapText="1"/>
    </xf>
    <xf numFmtId="49" fontId="12" fillId="0" borderId="4" xfId="3" applyNumberFormat="1" applyFont="1" applyFill="1" applyBorder="1" applyAlignment="1" applyProtection="1">
      <alignment horizontal="center" vertical="center" wrapText="1"/>
    </xf>
    <xf numFmtId="49" fontId="22" fillId="0" borderId="4" xfId="3" applyNumberFormat="1" applyFont="1" applyFill="1" applyBorder="1" applyAlignment="1" applyProtection="1">
      <alignment vertical="center" wrapText="1"/>
    </xf>
    <xf numFmtId="9" fontId="22" fillId="0" borderId="4" xfId="0" applyNumberFormat="1" applyFont="1" applyFill="1" applyBorder="1" applyAlignment="1" applyProtection="1">
      <alignment vertical="center" wrapText="1"/>
    </xf>
    <xf numFmtId="9" fontId="23" fillId="0" borderId="4" xfId="0" applyNumberFormat="1" applyFont="1" applyFill="1" applyBorder="1" applyAlignment="1" applyProtection="1">
      <alignment vertical="center" wrapText="1"/>
    </xf>
    <xf numFmtId="9" fontId="22" fillId="0" borderId="9" xfId="0" applyNumberFormat="1" applyFont="1" applyFill="1" applyBorder="1" applyAlignment="1" applyProtection="1">
      <alignment horizontal="center" vertical="center" wrapText="1"/>
    </xf>
    <xf numFmtId="9" fontId="23" fillId="0" borderId="9" xfId="0" applyNumberFormat="1" applyFont="1" applyFill="1" applyBorder="1" applyAlignment="1" applyProtection="1">
      <alignment horizontal="justify" vertical="center" wrapText="1"/>
    </xf>
    <xf numFmtId="9" fontId="23" fillId="0" borderId="9" xfId="0" applyNumberFormat="1" applyFont="1" applyFill="1" applyBorder="1" applyAlignment="1" applyProtection="1">
      <alignment horizontal="center" vertical="center" wrapText="1"/>
    </xf>
    <xf numFmtId="44" fontId="23" fillId="0" borderId="4" xfId="4" applyFont="1" applyFill="1" applyBorder="1" applyAlignment="1" applyProtection="1">
      <alignment vertical="center" wrapText="1"/>
    </xf>
    <xf numFmtId="44" fontId="23" fillId="0" borderId="9" xfId="4" applyNumberFormat="1" applyFont="1" applyFill="1" applyBorder="1" applyAlignment="1" applyProtection="1">
      <alignment horizontal="center" vertical="center" wrapText="1"/>
    </xf>
    <xf numFmtId="44" fontId="23" fillId="0" borderId="9" xfId="4" applyFont="1" applyFill="1" applyBorder="1" applyAlignment="1" applyProtection="1">
      <alignment horizontal="center" vertical="center" wrapText="1"/>
    </xf>
    <xf numFmtId="44" fontId="23" fillId="2" borderId="9" xfId="4" applyFont="1" applyFill="1" applyBorder="1" applyAlignment="1" applyProtection="1">
      <alignment horizontal="center" vertical="center" wrapText="1"/>
    </xf>
    <xf numFmtId="9" fontId="28" fillId="2" borderId="9" xfId="0" quotePrefix="1" applyNumberFormat="1" applyFont="1" applyFill="1" applyBorder="1" applyAlignment="1" applyProtection="1">
      <alignment horizontal="justify" vertical="center" wrapText="1"/>
    </xf>
    <xf numFmtId="9" fontId="33" fillId="0" borderId="4" xfId="0" quotePrefix="1" applyNumberFormat="1" applyFont="1" applyFill="1" applyBorder="1" applyAlignment="1" applyProtection="1">
      <alignment horizontal="center" vertical="center" wrapText="1"/>
    </xf>
    <xf numFmtId="9" fontId="12" fillId="2" borderId="0" xfId="0" applyNumberFormat="1" applyFont="1" applyFill="1" applyBorder="1" applyAlignment="1" applyProtection="1">
      <alignment horizontal="center" vertical="center" wrapText="1"/>
    </xf>
    <xf numFmtId="9" fontId="12" fillId="0" borderId="0" xfId="0" applyNumberFormat="1" applyFont="1" applyFill="1" applyBorder="1" applyAlignment="1" applyProtection="1">
      <alignment horizontal="center" vertical="center" wrapText="1"/>
    </xf>
    <xf numFmtId="44" fontId="12" fillId="0" borderId="0" xfId="0" applyNumberFormat="1" applyFont="1" applyFill="1" applyBorder="1" applyAlignment="1" applyProtection="1">
      <alignment horizontal="center" vertical="center" wrapText="1"/>
    </xf>
    <xf numFmtId="0" fontId="23" fillId="0" borderId="4" xfId="0" applyFont="1" applyFill="1" applyBorder="1" applyAlignment="1" applyProtection="1">
      <alignment horizontal="justify" vertical="center" wrapText="1"/>
    </xf>
    <xf numFmtId="49" fontId="22" fillId="0" borderId="4" xfId="3" applyNumberFormat="1" applyFont="1" applyFill="1" applyBorder="1" applyAlignment="1" applyProtection="1">
      <alignment horizontal="center" vertical="center" wrapText="1"/>
    </xf>
    <xf numFmtId="9" fontId="22" fillId="0" borderId="4" xfId="0" applyNumberFormat="1" applyFont="1" applyFill="1" applyBorder="1" applyAlignment="1" applyProtection="1">
      <alignment horizontal="center" vertical="center" wrapText="1"/>
    </xf>
    <xf numFmtId="2" fontId="12" fillId="0" borderId="0" xfId="0" applyNumberFormat="1" applyFont="1" applyFill="1" applyBorder="1" applyAlignment="1" applyProtection="1">
      <alignment horizontal="center" vertical="center" wrapText="1"/>
    </xf>
    <xf numFmtId="49" fontId="12" fillId="0" borderId="9" xfId="3" applyNumberFormat="1" applyFont="1" applyFill="1" applyBorder="1" applyAlignment="1" applyProtection="1">
      <alignment horizontal="center" vertical="center" wrapText="1"/>
    </xf>
    <xf numFmtId="0" fontId="23" fillId="0" borderId="9" xfId="0" applyFont="1" applyFill="1" applyBorder="1" applyAlignment="1" applyProtection="1">
      <alignment horizontal="justify" vertical="center" wrapText="1"/>
    </xf>
    <xf numFmtId="49" fontId="22" fillId="0" borderId="9" xfId="3" applyNumberFormat="1" applyFont="1" applyFill="1" applyBorder="1" applyAlignment="1" applyProtection="1">
      <alignment horizontal="center" vertical="center" wrapText="1"/>
    </xf>
    <xf numFmtId="1" fontId="23" fillId="0" borderId="9" xfId="0" applyNumberFormat="1" applyFont="1" applyFill="1" applyBorder="1" applyAlignment="1" applyProtection="1">
      <alignment horizontal="center" vertical="center" wrapText="1"/>
    </xf>
    <xf numFmtId="1" fontId="28" fillId="0" borderId="9" xfId="0" applyNumberFormat="1" applyFont="1" applyFill="1" applyBorder="1" applyAlignment="1" applyProtection="1">
      <alignment horizontal="justify" vertical="center" wrapText="1"/>
    </xf>
    <xf numFmtId="9" fontId="28" fillId="0" borderId="9" xfId="0" quotePrefix="1" applyNumberFormat="1" applyFont="1" applyFill="1" applyBorder="1" applyAlignment="1" applyProtection="1">
      <alignment horizontal="center" vertical="center" wrapText="1"/>
    </xf>
    <xf numFmtId="9" fontId="22" fillId="0" borderId="9" xfId="0" applyNumberFormat="1" applyFont="1" applyFill="1" applyBorder="1" applyAlignment="1" applyProtection="1">
      <alignment vertical="center" wrapText="1"/>
    </xf>
    <xf numFmtId="9" fontId="24" fillId="0" borderId="9" xfId="0" applyNumberFormat="1" applyFont="1" applyFill="1" applyBorder="1" applyAlignment="1" applyProtection="1">
      <alignment horizontal="center" vertical="center" wrapText="1"/>
    </xf>
    <xf numFmtId="9" fontId="28" fillId="0" borderId="4" xfId="0" quotePrefix="1" applyNumberFormat="1" applyFont="1" applyFill="1" applyBorder="1" applyAlignment="1" applyProtection="1">
      <alignment horizontal="center" vertical="center" wrapText="1"/>
    </xf>
    <xf numFmtId="166" fontId="2" fillId="2" borderId="0" xfId="0" applyNumberFormat="1" applyFont="1" applyFill="1" applyProtection="1"/>
    <xf numFmtId="166" fontId="2" fillId="0" borderId="0" xfId="0" applyNumberFormat="1" applyFont="1" applyProtection="1"/>
    <xf numFmtId="9" fontId="22" fillId="0" borderId="8" xfId="0" applyNumberFormat="1" applyFont="1" applyFill="1" applyBorder="1" applyAlignment="1" applyProtection="1">
      <alignment horizontal="center" vertical="center" wrapText="1"/>
    </xf>
    <xf numFmtId="9" fontId="23" fillId="0" borderId="8" xfId="0" applyNumberFormat="1" applyFont="1" applyFill="1" applyBorder="1" applyAlignment="1" applyProtection="1">
      <alignment horizontal="justify" vertical="center" wrapText="1"/>
    </xf>
    <xf numFmtId="3" fontId="23" fillId="0" borderId="9" xfId="0" applyNumberFormat="1" applyFont="1" applyFill="1" applyBorder="1" applyAlignment="1" applyProtection="1">
      <alignment horizontal="center" vertical="center" wrapText="1"/>
    </xf>
    <xf numFmtId="3" fontId="28" fillId="0" borderId="9" xfId="0" applyNumberFormat="1" applyFont="1" applyFill="1" applyBorder="1" applyAlignment="1" applyProtection="1">
      <alignment horizontal="justify" vertical="center" wrapText="1"/>
    </xf>
    <xf numFmtId="9" fontId="28" fillId="0" borderId="8" xfId="0" quotePrefix="1" applyNumberFormat="1" applyFont="1" applyFill="1" applyBorder="1" applyAlignment="1" applyProtection="1">
      <alignment horizontal="center" vertical="center" wrapText="1"/>
    </xf>
    <xf numFmtId="49" fontId="12" fillId="0" borderId="9" xfId="0" applyNumberFormat="1" applyFont="1" applyFill="1" applyBorder="1" applyAlignment="1" applyProtection="1">
      <alignment horizontal="center" vertical="center" wrapText="1"/>
    </xf>
    <xf numFmtId="49" fontId="22" fillId="0" borderId="9" xfId="0" applyNumberFormat="1" applyFont="1" applyFill="1" applyBorder="1" applyAlignment="1" applyProtection="1">
      <alignment horizontal="center" vertical="center" wrapText="1"/>
    </xf>
    <xf numFmtId="49" fontId="12" fillId="0" borderId="4" xfId="0" applyNumberFormat="1" applyFont="1" applyFill="1" applyBorder="1" applyAlignment="1" applyProtection="1">
      <alignment horizontal="center" vertical="center" wrapText="1"/>
    </xf>
    <xf numFmtId="49" fontId="22" fillId="0" borderId="4" xfId="0" applyNumberFormat="1" applyFont="1" applyFill="1" applyBorder="1" applyAlignment="1" applyProtection="1">
      <alignment horizontal="center" vertical="center" wrapText="1"/>
    </xf>
    <xf numFmtId="164" fontId="12" fillId="0" borderId="0" xfId="0" applyNumberFormat="1" applyFont="1" applyFill="1" applyBorder="1" applyAlignment="1" applyProtection="1">
      <alignment horizontal="center" vertical="center" wrapText="1"/>
    </xf>
    <xf numFmtId="49" fontId="12" fillId="2" borderId="9" xfId="0" applyNumberFormat="1" applyFont="1" applyFill="1" applyBorder="1" applyAlignment="1" applyProtection="1">
      <alignment horizontal="center" vertical="center" wrapText="1"/>
    </xf>
    <xf numFmtId="0" fontId="23" fillId="2" borderId="9" xfId="0" applyFont="1" applyFill="1" applyBorder="1" applyAlignment="1" applyProtection="1">
      <alignment horizontal="justify" vertical="center" wrapText="1"/>
    </xf>
    <xf numFmtId="49" fontId="22" fillId="2" borderId="9" xfId="0" applyNumberFormat="1" applyFont="1" applyFill="1" applyBorder="1" applyAlignment="1" applyProtection="1">
      <alignment horizontal="center" vertical="center" wrapText="1"/>
    </xf>
    <xf numFmtId="9" fontId="22" fillId="2" borderId="9" xfId="0" applyNumberFormat="1" applyFont="1" applyFill="1" applyBorder="1" applyAlignment="1" applyProtection="1">
      <alignment horizontal="center" vertical="center" wrapText="1"/>
    </xf>
    <xf numFmtId="0" fontId="12" fillId="0" borderId="10" xfId="0" applyFont="1" applyFill="1" applyBorder="1" applyAlignment="1" applyProtection="1">
      <alignment horizontal="center" vertical="center"/>
    </xf>
    <xf numFmtId="0" fontId="23" fillId="0" borderId="10" xfId="0" applyFont="1" applyFill="1" applyBorder="1" applyAlignment="1" applyProtection="1">
      <alignment horizontal="justify" vertical="center" wrapText="1"/>
    </xf>
    <xf numFmtId="9" fontId="22" fillId="0" borderId="10" xfId="0" applyNumberFormat="1" applyFont="1" applyFill="1" applyBorder="1" applyAlignment="1" applyProtection="1">
      <alignment horizontal="center" vertical="center" textRotation="90" wrapText="1"/>
    </xf>
    <xf numFmtId="49" fontId="12" fillId="0" borderId="8" xfId="0" applyNumberFormat="1" applyFont="1" applyFill="1" applyBorder="1" applyAlignment="1" applyProtection="1">
      <alignment horizontal="center" vertical="center" wrapText="1"/>
    </xf>
    <xf numFmtId="0" fontId="23" fillId="0" borderId="8" xfId="0" applyFont="1" applyFill="1" applyBorder="1" applyAlignment="1" applyProtection="1">
      <alignment horizontal="justify" vertical="center" wrapText="1"/>
    </xf>
    <xf numFmtId="165" fontId="23" fillId="0" borderId="9" xfId="0" applyNumberFormat="1" applyFont="1" applyFill="1" applyBorder="1" applyAlignment="1" applyProtection="1">
      <alignment horizontal="center" vertical="center" wrapText="1"/>
    </xf>
    <xf numFmtId="9" fontId="28" fillId="0" borderId="9" xfId="0" applyNumberFormat="1" applyFont="1" applyFill="1" applyBorder="1" applyAlignment="1" applyProtection="1">
      <alignment horizontal="justify" vertical="center" wrapText="1"/>
    </xf>
    <xf numFmtId="9" fontId="23" fillId="2" borderId="9" xfId="0" applyNumberFormat="1" applyFont="1" applyFill="1" applyBorder="1" applyAlignment="1" applyProtection="1">
      <alignment horizontal="justify" vertical="center" wrapText="1"/>
    </xf>
    <xf numFmtId="9" fontId="23" fillId="2" borderId="9" xfId="0" applyNumberFormat="1" applyFont="1" applyFill="1" applyBorder="1" applyAlignment="1" applyProtection="1">
      <alignment horizontal="center" vertical="center" wrapText="1"/>
    </xf>
    <xf numFmtId="165" fontId="23" fillId="2" borderId="9" xfId="0" applyNumberFormat="1" applyFont="1" applyFill="1" applyBorder="1" applyAlignment="1" applyProtection="1">
      <alignment horizontal="center" vertical="center" wrapText="1"/>
    </xf>
    <xf numFmtId="9" fontId="33" fillId="2" borderId="9" xfId="0" applyNumberFormat="1" applyFont="1" applyFill="1" applyBorder="1" applyAlignment="1" applyProtection="1">
      <alignment horizontal="justify" vertical="center" wrapText="1"/>
    </xf>
    <xf numFmtId="9" fontId="33" fillId="0" borderId="9" xfId="0" quotePrefix="1" applyNumberFormat="1" applyFont="1" applyFill="1" applyBorder="1" applyAlignment="1" applyProtection="1">
      <alignment horizontal="center" vertical="center" wrapText="1"/>
    </xf>
    <xf numFmtId="9" fontId="28" fillId="2" borderId="9" xfId="0" applyNumberFormat="1" applyFont="1" applyFill="1" applyBorder="1" applyAlignment="1" applyProtection="1">
      <alignment horizontal="justify" vertical="center" wrapText="1"/>
    </xf>
    <xf numFmtId="10" fontId="23" fillId="0" borderId="9" xfId="0" applyNumberFormat="1" applyFont="1" applyFill="1" applyBorder="1" applyAlignment="1" applyProtection="1">
      <alignment horizontal="center" vertical="center" wrapText="1"/>
    </xf>
    <xf numFmtId="9" fontId="14" fillId="0" borderId="0" xfId="0" applyNumberFormat="1" applyFont="1" applyFill="1" applyBorder="1" applyAlignment="1" applyProtection="1">
      <alignment horizontal="left" vertical="center"/>
    </xf>
    <xf numFmtId="9" fontId="22" fillId="2" borderId="9" xfId="0" applyNumberFormat="1" applyFont="1" applyFill="1" applyBorder="1" applyAlignment="1" applyProtection="1">
      <alignment vertical="center" wrapText="1"/>
    </xf>
    <xf numFmtId="9" fontId="22" fillId="2" borderId="8" xfId="0" applyNumberFormat="1" applyFont="1" applyFill="1" applyBorder="1" applyAlignment="1" applyProtection="1">
      <alignment horizontal="center" vertical="center" wrapText="1"/>
    </xf>
    <xf numFmtId="9" fontId="28" fillId="0" borderId="9" xfId="0" quotePrefix="1" applyNumberFormat="1" applyFont="1" applyFill="1" applyBorder="1" applyAlignment="1" applyProtection="1">
      <alignment horizontal="justify" vertical="center" wrapText="1"/>
    </xf>
    <xf numFmtId="9" fontId="28" fillId="0" borderId="10" xfId="0" quotePrefix="1" applyNumberFormat="1" applyFont="1" applyFill="1" applyBorder="1" applyAlignment="1" applyProtection="1">
      <alignment horizontal="center" vertical="center" wrapText="1"/>
    </xf>
    <xf numFmtId="49" fontId="12" fillId="0" borderId="10" xfId="3" applyNumberFormat="1" applyFont="1" applyFill="1" applyBorder="1" applyAlignment="1" applyProtection="1">
      <alignment horizontal="center" vertical="center" wrapText="1"/>
    </xf>
    <xf numFmtId="49" fontId="22" fillId="0" borderId="8" xfId="3" applyNumberFormat="1" applyFont="1" applyFill="1" applyBorder="1" applyAlignment="1" applyProtection="1">
      <alignment horizontal="center" vertical="center" wrapText="1"/>
    </xf>
    <xf numFmtId="9" fontId="22" fillId="0" borderId="10" xfId="0" applyNumberFormat="1" applyFont="1" applyFill="1" applyBorder="1" applyAlignment="1" applyProtection="1">
      <alignment horizontal="center" vertical="center" wrapText="1"/>
    </xf>
    <xf numFmtId="9" fontId="33" fillId="0" borderId="4" xfId="0" quotePrefix="1" applyNumberFormat="1" applyFont="1" applyFill="1" applyBorder="1" applyAlignment="1" applyProtection="1">
      <alignment vertical="center" wrapText="1"/>
    </xf>
    <xf numFmtId="49" fontId="12" fillId="0" borderId="8" xfId="3" applyNumberFormat="1" applyFont="1" applyFill="1" applyBorder="1" applyAlignment="1" applyProtection="1">
      <alignment horizontal="center" vertical="center" wrapText="1"/>
    </xf>
    <xf numFmtId="49" fontId="12" fillId="0" borderId="9" xfId="3" applyNumberFormat="1" applyFont="1" applyFill="1" applyBorder="1" applyAlignment="1" applyProtection="1">
      <alignment vertical="center" wrapText="1"/>
    </xf>
    <xf numFmtId="0" fontId="23" fillId="0" borderId="9" xfId="0" applyFont="1" applyFill="1" applyBorder="1" applyAlignment="1" applyProtection="1">
      <alignment vertical="center" wrapText="1"/>
    </xf>
    <xf numFmtId="49" fontId="22" fillId="0" borderId="9" xfId="3" applyNumberFormat="1" applyFont="1" applyFill="1" applyBorder="1" applyAlignment="1" applyProtection="1">
      <alignment vertical="center" wrapText="1"/>
    </xf>
    <xf numFmtId="9" fontId="23" fillId="0" borderId="9" xfId="1" applyFont="1" applyFill="1" applyBorder="1" applyAlignment="1" applyProtection="1">
      <alignment horizontal="center" vertical="center" wrapText="1"/>
    </xf>
    <xf numFmtId="165" fontId="23" fillId="0" borderId="9" xfId="1" applyNumberFormat="1" applyFont="1" applyFill="1" applyBorder="1" applyAlignment="1" applyProtection="1">
      <alignment horizontal="center" vertical="center" wrapText="1"/>
    </xf>
    <xf numFmtId="1" fontId="36" fillId="0" borderId="9" xfId="0" applyNumberFormat="1" applyFont="1" applyFill="1" applyBorder="1" applyAlignment="1" applyProtection="1">
      <alignment horizontal="justify" vertical="center" wrapText="1"/>
    </xf>
    <xf numFmtId="1" fontId="23" fillId="0" borderId="9" xfId="1" applyNumberFormat="1" applyFont="1" applyFill="1" applyBorder="1" applyAlignment="1" applyProtection="1">
      <alignment horizontal="center" vertical="center" wrapText="1"/>
    </xf>
    <xf numFmtId="9" fontId="36" fillId="0" borderId="9" xfId="0" applyNumberFormat="1" applyFont="1" applyFill="1" applyBorder="1" applyAlignment="1" applyProtection="1">
      <alignment horizontal="justify" vertical="center" wrapText="1"/>
    </xf>
    <xf numFmtId="0" fontId="13" fillId="2" borderId="15" xfId="0" applyFont="1" applyFill="1" applyBorder="1" applyAlignment="1" applyProtection="1">
      <alignment horizontal="center" vertical="center" wrapText="1"/>
    </xf>
    <xf numFmtId="0" fontId="3" fillId="2" borderId="16" xfId="0" applyFont="1" applyFill="1" applyBorder="1" applyAlignment="1" applyProtection="1">
      <alignment horizontal="center" vertical="center" textRotation="90" wrapText="1"/>
    </xf>
    <xf numFmtId="1" fontId="28" fillId="0" borderId="8" xfId="0" applyNumberFormat="1" applyFont="1" applyFill="1" applyBorder="1" applyAlignment="1" applyProtection="1">
      <alignment horizontal="justify" vertical="center" wrapText="1"/>
    </xf>
    <xf numFmtId="9" fontId="33" fillId="0" borderId="9" xfId="0" quotePrefix="1" applyNumberFormat="1" applyFont="1" applyFill="1" applyBorder="1" applyAlignment="1" applyProtection="1">
      <alignment vertical="center" wrapText="1"/>
    </xf>
    <xf numFmtId="9" fontId="33" fillId="0" borderId="8" xfId="0" quotePrefix="1" applyNumberFormat="1" applyFont="1" applyFill="1" applyBorder="1" applyAlignment="1" applyProtection="1">
      <alignment vertical="center" wrapText="1"/>
    </xf>
    <xf numFmtId="9" fontId="23" fillId="0" borderId="8" xfId="0" applyNumberFormat="1" applyFont="1" applyFill="1" applyBorder="1" applyAlignment="1" applyProtection="1">
      <alignment horizontal="center" vertical="center" wrapText="1"/>
    </xf>
    <xf numFmtId="9" fontId="28" fillId="0" borderId="8" xfId="0" applyNumberFormat="1" applyFont="1" applyFill="1" applyBorder="1" applyAlignment="1" applyProtection="1">
      <alignment horizontal="justify" vertical="center" wrapText="1"/>
    </xf>
    <xf numFmtId="165" fontId="23" fillId="0" borderId="8" xfId="1" applyNumberFormat="1" applyFont="1" applyFill="1" applyBorder="1" applyAlignment="1" applyProtection="1">
      <alignment horizontal="center" vertical="center" wrapText="1"/>
    </xf>
    <xf numFmtId="9" fontId="23" fillId="0" borderId="8" xfId="1" applyNumberFormat="1" applyFont="1" applyFill="1" applyBorder="1" applyAlignment="1" applyProtection="1">
      <alignment horizontal="center" vertical="center" wrapText="1"/>
    </xf>
    <xf numFmtId="1" fontId="28" fillId="0" borderId="9" xfId="3" applyNumberFormat="1" applyFont="1" applyFill="1" applyBorder="1" applyAlignment="1" applyProtection="1">
      <alignment horizontal="justify" vertical="center" wrapText="1"/>
    </xf>
    <xf numFmtId="9" fontId="14" fillId="2" borderId="0" xfId="0" applyNumberFormat="1" applyFont="1" applyFill="1" applyBorder="1" applyAlignment="1" applyProtection="1">
      <alignment horizontal="center" vertical="center" wrapText="1"/>
    </xf>
    <xf numFmtId="9" fontId="14" fillId="0" borderId="0" xfId="0" applyNumberFormat="1" applyFont="1" applyFill="1" applyBorder="1" applyAlignment="1" applyProtection="1">
      <alignment horizontal="center" vertical="center" wrapText="1"/>
    </xf>
    <xf numFmtId="9" fontId="35" fillId="0" borderId="9" xfId="0" applyNumberFormat="1" applyFont="1" applyFill="1" applyBorder="1" applyAlignment="1" applyProtection="1">
      <alignment horizontal="justify" vertical="center" wrapText="1"/>
    </xf>
    <xf numFmtId="10" fontId="23" fillId="0" borderId="9" xfId="1" applyNumberFormat="1" applyFont="1" applyFill="1" applyBorder="1" applyAlignment="1" applyProtection="1">
      <alignment horizontal="center" vertical="center" wrapText="1"/>
    </xf>
    <xf numFmtId="9" fontId="28" fillId="0" borderId="9" xfId="1" applyFont="1" applyFill="1" applyBorder="1" applyAlignment="1" applyProtection="1">
      <alignment horizontal="justify" vertical="center" wrapText="1"/>
    </xf>
    <xf numFmtId="3" fontId="36" fillId="0" borderId="9" xfId="1" applyNumberFormat="1" applyFont="1" applyFill="1" applyBorder="1" applyAlignment="1" applyProtection="1">
      <alignment horizontal="justify" vertical="center" wrapText="1"/>
    </xf>
    <xf numFmtId="9" fontId="36" fillId="0" borderId="4" xfId="0" quotePrefix="1" applyNumberFormat="1" applyFont="1" applyFill="1" applyBorder="1" applyAlignment="1" applyProtection="1">
      <alignment horizontal="justify" vertical="center" wrapText="1"/>
    </xf>
    <xf numFmtId="1" fontId="28" fillId="0" borderId="9" xfId="1" applyNumberFormat="1" applyFont="1" applyFill="1" applyBorder="1" applyAlignment="1" applyProtection="1">
      <alignment horizontal="justify" vertical="center" wrapText="1"/>
    </xf>
    <xf numFmtId="49" fontId="28" fillId="0" borderId="9" xfId="1" applyNumberFormat="1" applyFont="1" applyFill="1" applyBorder="1" applyAlignment="1" applyProtection="1">
      <alignment horizontal="justify" vertical="center" wrapText="1"/>
    </xf>
    <xf numFmtId="49" fontId="28" fillId="0" borderId="8" xfId="0" quotePrefix="1" applyNumberFormat="1" applyFont="1" applyFill="1" applyBorder="1" applyAlignment="1" applyProtection="1">
      <alignment horizontal="justify" vertical="center" wrapText="1"/>
    </xf>
    <xf numFmtId="0" fontId="12" fillId="0" borderId="4" xfId="0" applyFont="1" applyFill="1" applyBorder="1" applyAlignment="1" applyProtection="1">
      <alignment horizontal="center" vertical="center" wrapText="1"/>
    </xf>
    <xf numFmtId="9" fontId="22" fillId="0" borderId="4" xfId="3" applyNumberFormat="1" applyFont="1" applyFill="1" applyBorder="1" applyAlignment="1" applyProtection="1">
      <alignment horizontal="center" vertical="center" textRotation="90" wrapText="1"/>
    </xf>
    <xf numFmtId="9" fontId="22" fillId="0" borderId="4" xfId="3" applyFont="1" applyFill="1" applyBorder="1" applyAlignment="1" applyProtection="1">
      <alignment horizontal="center" vertical="center" wrapText="1"/>
    </xf>
    <xf numFmtId="9" fontId="22" fillId="2" borderId="9" xfId="3" applyFont="1" applyFill="1" applyBorder="1" applyAlignment="1" applyProtection="1">
      <alignment horizontal="center" vertical="center" wrapText="1"/>
    </xf>
    <xf numFmtId="9" fontId="23" fillId="0" borderId="9" xfId="3" applyFont="1" applyFill="1" applyBorder="1" applyAlignment="1" applyProtection="1">
      <alignment horizontal="justify" vertical="center" wrapText="1"/>
    </xf>
    <xf numFmtId="9" fontId="22" fillId="0" borderId="9" xfId="3" applyFont="1" applyFill="1" applyBorder="1" applyAlignment="1" applyProtection="1">
      <alignment horizontal="center" vertical="center" wrapText="1"/>
    </xf>
    <xf numFmtId="9" fontId="23" fillId="0" borderId="9" xfId="3" applyFont="1" applyFill="1" applyBorder="1" applyAlignment="1" applyProtection="1">
      <alignment horizontal="center" vertical="center" wrapText="1"/>
    </xf>
    <xf numFmtId="1" fontId="23" fillId="0" borderId="9" xfId="3" applyNumberFormat="1" applyFont="1" applyFill="1" applyBorder="1" applyAlignment="1" applyProtection="1">
      <alignment horizontal="center" vertical="center" wrapText="1"/>
    </xf>
    <xf numFmtId="9" fontId="12" fillId="2" borderId="0" xfId="3" applyFont="1" applyFill="1" applyBorder="1" applyAlignment="1" applyProtection="1">
      <alignment horizontal="center" vertical="center" wrapText="1"/>
    </xf>
    <xf numFmtId="9" fontId="12" fillId="0" borderId="0" xfId="3" applyFont="1" applyFill="1" applyBorder="1" applyAlignment="1" applyProtection="1">
      <alignment horizontal="center" vertical="center" wrapText="1"/>
    </xf>
    <xf numFmtId="9" fontId="14" fillId="2" borderId="0" xfId="3" applyFont="1" applyFill="1" applyBorder="1" applyAlignment="1" applyProtection="1">
      <alignment horizontal="center" vertical="center" wrapText="1"/>
    </xf>
    <xf numFmtId="9" fontId="14" fillId="0" borderId="0" xfId="3" applyFont="1" applyFill="1" applyBorder="1" applyAlignment="1" applyProtection="1">
      <alignment horizontal="center" vertical="center" wrapText="1"/>
    </xf>
    <xf numFmtId="9" fontId="22" fillId="0" borderId="8" xfId="3" applyFont="1" applyFill="1" applyBorder="1" applyAlignment="1" applyProtection="1">
      <alignment horizontal="center" vertical="center" wrapText="1"/>
    </xf>
    <xf numFmtId="0" fontId="12" fillId="0" borderId="8" xfId="0" applyFont="1" applyFill="1" applyBorder="1" applyAlignment="1" applyProtection="1">
      <alignment horizontal="center" vertical="center" wrapText="1"/>
    </xf>
    <xf numFmtId="9" fontId="22" fillId="0" borderId="8" xfId="3" applyNumberFormat="1" applyFont="1" applyFill="1" applyBorder="1" applyAlignment="1" applyProtection="1">
      <alignment horizontal="center" vertical="center" textRotation="90" wrapText="1"/>
    </xf>
    <xf numFmtId="0" fontId="2" fillId="2" borderId="0" xfId="0" quotePrefix="1" applyFont="1" applyFill="1" applyProtection="1"/>
    <xf numFmtId="9" fontId="2" fillId="2" borderId="0" xfId="0" applyNumberFormat="1" applyFont="1" applyFill="1" applyBorder="1" applyAlignment="1" applyProtection="1">
      <alignment horizontal="center" vertical="top" wrapText="1"/>
    </xf>
    <xf numFmtId="165" fontId="2" fillId="2" borderId="0" xfId="0" applyNumberFormat="1" applyFont="1" applyFill="1" applyAlignment="1" applyProtection="1"/>
    <xf numFmtId="0" fontId="3" fillId="0" borderId="0" xfId="0" applyFont="1" applyProtection="1"/>
    <xf numFmtId="0" fontId="2" fillId="0" borderId="0" xfId="0" applyFont="1" applyAlignment="1" applyProtection="1">
      <alignment horizontal="justify" vertical="center"/>
    </xf>
    <xf numFmtId="0" fontId="2" fillId="0" borderId="0" xfId="0" applyFont="1" applyAlignment="1" applyProtection="1">
      <alignment textRotation="90"/>
    </xf>
    <xf numFmtId="0" fontId="2" fillId="0" borderId="0" xfId="0" applyFont="1" applyAlignment="1" applyProtection="1">
      <alignment horizontal="center"/>
    </xf>
    <xf numFmtId="167" fontId="23" fillId="0" borderId="9" xfId="1" applyNumberFormat="1" applyFont="1" applyFill="1" applyBorder="1" applyAlignment="1">
      <alignment horizontal="center" vertical="center" wrapText="1"/>
    </xf>
    <xf numFmtId="1" fontId="28" fillId="0" borderId="9" xfId="0" applyNumberFormat="1" applyFont="1" applyFill="1" applyBorder="1" applyAlignment="1">
      <alignment horizontal="justify" vertical="center" wrapText="1"/>
    </xf>
    <xf numFmtId="9" fontId="28" fillId="0" borderId="9" xfId="0" quotePrefix="1" applyNumberFormat="1" applyFont="1" applyFill="1" applyBorder="1" applyAlignment="1">
      <alignment horizontal="center" vertical="center" wrapText="1"/>
    </xf>
    <xf numFmtId="2" fontId="23" fillId="0" borderId="9" xfId="0" applyNumberFormat="1" applyFont="1" applyFill="1" applyBorder="1" applyAlignment="1">
      <alignment horizontal="center" vertical="center" wrapText="1"/>
    </xf>
    <xf numFmtId="9" fontId="35" fillId="0" borderId="9" xfId="0" applyNumberFormat="1" applyFont="1" applyFill="1" applyBorder="1" applyAlignment="1">
      <alignment horizontal="justify" vertical="center" wrapText="1"/>
    </xf>
    <xf numFmtId="9" fontId="28" fillId="0" borderId="9" xfId="1" applyFont="1" applyFill="1" applyBorder="1" applyAlignment="1">
      <alignment horizontal="justify" vertical="center" wrapText="1"/>
    </xf>
    <xf numFmtId="9" fontId="28" fillId="0" borderId="9" xfId="0" applyNumberFormat="1" applyFont="1" applyFill="1" applyBorder="1" applyAlignment="1">
      <alignment horizontal="justify" vertical="center" wrapText="1"/>
    </xf>
    <xf numFmtId="9" fontId="28" fillId="0" borderId="9" xfId="0" quotePrefix="1" applyNumberFormat="1" applyFont="1" applyFill="1" applyBorder="1" applyAlignment="1">
      <alignment horizontal="justify" vertical="center" wrapText="1"/>
    </xf>
    <xf numFmtId="1" fontId="28" fillId="0" borderId="9" xfId="3" applyNumberFormat="1" applyFont="1" applyFill="1" applyBorder="1" applyAlignment="1">
      <alignment horizontal="justify" vertical="center" wrapText="1"/>
    </xf>
    <xf numFmtId="9" fontId="37" fillId="0" borderId="9" xfId="0" applyNumberFormat="1" applyFont="1" applyFill="1" applyBorder="1" applyAlignment="1">
      <alignment horizontal="justify" vertical="center" wrapText="1"/>
    </xf>
    <xf numFmtId="9" fontId="28" fillId="2" borderId="9" xfId="0" applyNumberFormat="1" applyFont="1" applyFill="1" applyBorder="1" applyAlignment="1">
      <alignment horizontal="justify" vertical="center" wrapText="1"/>
    </xf>
    <xf numFmtId="49" fontId="28" fillId="0" borderId="9" xfId="0" quotePrefix="1" applyNumberFormat="1" applyFont="1" applyFill="1" applyBorder="1" applyAlignment="1">
      <alignment horizontal="justify" vertical="center" wrapText="1"/>
    </xf>
    <xf numFmtId="3" fontId="28" fillId="0" borderId="9" xfId="0" applyNumberFormat="1" applyFont="1" applyFill="1" applyBorder="1" applyAlignment="1">
      <alignment horizontal="justify" vertical="center" wrapText="1"/>
    </xf>
    <xf numFmtId="9" fontId="36" fillId="0" borderId="9" xfId="0" applyNumberFormat="1" applyFont="1" applyFill="1" applyBorder="1" applyAlignment="1">
      <alignment horizontal="justify" vertical="center" wrapText="1"/>
    </xf>
    <xf numFmtId="1" fontId="36" fillId="0" borderId="9" xfId="0" applyNumberFormat="1" applyFont="1" applyFill="1" applyBorder="1" applyAlignment="1">
      <alignment horizontal="justify" vertical="center" wrapText="1"/>
    </xf>
    <xf numFmtId="9" fontId="28" fillId="0" borderId="8" xfId="0" quotePrefix="1" applyNumberFormat="1" applyFont="1" applyFill="1" applyBorder="1" applyAlignment="1">
      <alignment horizontal="center" vertical="center" wrapText="1"/>
    </xf>
    <xf numFmtId="3" fontId="36" fillId="0" borderId="9" xfId="1" applyNumberFormat="1" applyFont="1" applyFill="1" applyBorder="1" applyAlignment="1">
      <alignment horizontal="justify" vertical="center" wrapText="1"/>
    </xf>
    <xf numFmtId="1" fontId="28" fillId="0" borderId="9" xfId="1" applyNumberFormat="1" applyFont="1" applyFill="1" applyBorder="1" applyAlignment="1">
      <alignment horizontal="justify" vertical="center" wrapText="1"/>
    </xf>
    <xf numFmtId="9" fontId="28" fillId="0" borderId="4" xfId="0" quotePrefix="1" applyNumberFormat="1" applyFont="1" applyFill="1" applyBorder="1" applyAlignment="1">
      <alignment horizontal="center" vertical="center" wrapText="1"/>
    </xf>
    <xf numFmtId="49" fontId="28" fillId="0" borderId="9" xfId="1" applyNumberFormat="1" applyFont="1" applyFill="1" applyBorder="1" applyAlignment="1">
      <alignment horizontal="justify" vertical="center" wrapText="1"/>
    </xf>
    <xf numFmtId="49" fontId="28" fillId="0" borderId="8" xfId="0" quotePrefix="1" applyNumberFormat="1" applyFont="1" applyFill="1" applyBorder="1" applyAlignment="1">
      <alignment horizontal="justify" vertical="center" wrapText="1"/>
    </xf>
    <xf numFmtId="9" fontId="36" fillId="0" borderId="9" xfId="0" quotePrefix="1" applyNumberFormat="1" applyFont="1" applyFill="1" applyBorder="1" applyAlignment="1">
      <alignment horizontal="justify" vertical="center" wrapText="1"/>
    </xf>
    <xf numFmtId="9" fontId="36" fillId="0" borderId="9" xfId="0" quotePrefix="1" applyNumberFormat="1" applyFont="1" applyFill="1" applyBorder="1" applyAlignment="1">
      <alignment horizontal="center" vertical="center" wrapText="1"/>
    </xf>
    <xf numFmtId="9" fontId="36" fillId="0" borderId="8" xfId="0" quotePrefix="1" applyNumberFormat="1" applyFont="1" applyFill="1" applyBorder="1" applyAlignment="1">
      <alignment vertical="center" wrapText="1"/>
    </xf>
    <xf numFmtId="9" fontId="36" fillId="0" borderId="4" xfId="0" quotePrefix="1" applyNumberFormat="1" applyFont="1" applyFill="1" applyBorder="1" applyAlignment="1">
      <alignment horizontal="center" vertical="center" wrapText="1"/>
    </xf>
    <xf numFmtId="9" fontId="36" fillId="0" borderId="8" xfId="0" quotePrefix="1" applyNumberFormat="1"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8" xfId="0" applyFont="1" applyFill="1" applyBorder="1" applyAlignment="1">
      <alignment horizontal="center" vertical="center" wrapText="1"/>
    </xf>
    <xf numFmtId="49" fontId="12" fillId="0" borderId="4" xfId="3" applyNumberFormat="1" applyFont="1" applyFill="1" applyBorder="1" applyAlignment="1">
      <alignment horizontal="center" vertical="center" wrapText="1"/>
    </xf>
    <xf numFmtId="49" fontId="12" fillId="0" borderId="8" xfId="3" applyNumberFormat="1" applyFont="1" applyFill="1" applyBorder="1" applyAlignment="1">
      <alignment horizontal="center" vertical="center" wrapText="1"/>
    </xf>
    <xf numFmtId="0" fontId="13" fillId="2" borderId="15" xfId="0" applyFont="1" applyFill="1" applyBorder="1" applyAlignment="1">
      <alignment horizontal="center" vertical="center" wrapText="1"/>
    </xf>
    <xf numFmtId="0" fontId="3" fillId="2" borderId="16" xfId="0" applyFont="1" applyFill="1" applyBorder="1" applyAlignment="1">
      <alignment horizontal="center" vertical="center" textRotation="90" wrapText="1"/>
    </xf>
    <xf numFmtId="0" fontId="12" fillId="0" borderId="10" xfId="0" applyFont="1" applyFill="1" applyBorder="1" applyAlignment="1">
      <alignment horizontal="center" vertical="center"/>
    </xf>
    <xf numFmtId="49" fontId="12" fillId="0" borderId="10" xfId="3" applyNumberFormat="1" applyFont="1" applyFill="1" applyBorder="1" applyAlignment="1">
      <alignment horizontal="center" vertical="center" wrapText="1"/>
    </xf>
    <xf numFmtId="9" fontId="36" fillId="0" borderId="4" xfId="0" quotePrefix="1" applyNumberFormat="1" applyFont="1" applyFill="1" applyBorder="1" applyAlignment="1" applyProtection="1">
      <alignment horizontal="justify" vertical="center" wrapText="1"/>
    </xf>
    <xf numFmtId="1" fontId="28" fillId="0" borderId="8" xfId="0" applyNumberFormat="1" applyFont="1" applyFill="1" applyBorder="1" applyAlignment="1">
      <alignment horizontal="justify" vertical="center" wrapText="1"/>
    </xf>
    <xf numFmtId="9" fontId="36" fillId="0" borderId="8" xfId="0" quotePrefix="1" applyNumberFormat="1" applyFont="1" applyFill="1" applyBorder="1" applyAlignment="1">
      <alignment horizontal="justify" vertical="center" wrapText="1"/>
    </xf>
    <xf numFmtId="9" fontId="36" fillId="0" borderId="4" xfId="0" quotePrefix="1" applyNumberFormat="1" applyFont="1" applyFill="1" applyBorder="1" applyAlignment="1">
      <alignment horizontal="justify" vertical="center" wrapText="1"/>
    </xf>
    <xf numFmtId="9" fontId="28" fillId="0" borderId="8" xfId="0" applyNumberFormat="1" applyFont="1" applyFill="1" applyBorder="1" applyAlignment="1">
      <alignment horizontal="justify" vertical="center" wrapText="1"/>
    </xf>
    <xf numFmtId="0" fontId="23" fillId="0" borderId="4" xfId="0" applyFont="1" applyFill="1" applyBorder="1" applyAlignment="1">
      <alignment horizontal="justify" vertical="center" wrapText="1"/>
    </xf>
    <xf numFmtId="0" fontId="23" fillId="0" borderId="10" xfId="0" applyFont="1" applyFill="1" applyBorder="1" applyAlignment="1">
      <alignment horizontal="justify" vertical="center" wrapText="1"/>
    </xf>
    <xf numFmtId="0" fontId="23" fillId="0" borderId="8" xfId="0" applyFont="1" applyFill="1" applyBorder="1" applyAlignment="1">
      <alignment horizontal="justify" vertical="center" wrapText="1"/>
    </xf>
    <xf numFmtId="9" fontId="22" fillId="0" borderId="4" xfId="3" applyNumberFormat="1" applyFont="1" applyFill="1" applyBorder="1" applyAlignment="1">
      <alignment horizontal="center" vertical="center" textRotation="90" wrapText="1"/>
    </xf>
    <xf numFmtId="9" fontId="22" fillId="0" borderId="8" xfId="3" applyNumberFormat="1" applyFont="1" applyFill="1" applyBorder="1" applyAlignment="1">
      <alignment horizontal="center" vertical="center" textRotation="90" wrapText="1"/>
    </xf>
    <xf numFmtId="9" fontId="23" fillId="0" borderId="8" xfId="0" applyNumberFormat="1" applyFont="1" applyFill="1" applyBorder="1" applyAlignment="1">
      <alignment horizontal="justify" vertical="center" wrapText="1"/>
    </xf>
    <xf numFmtId="9" fontId="23" fillId="0" borderId="8" xfId="0" applyNumberFormat="1" applyFont="1" applyFill="1" applyBorder="1" applyAlignment="1">
      <alignment horizontal="center" vertical="center" wrapText="1"/>
    </xf>
    <xf numFmtId="49" fontId="22" fillId="0" borderId="4" xfId="3" applyNumberFormat="1" applyFont="1" applyFill="1" applyBorder="1" applyAlignment="1">
      <alignment horizontal="center" vertical="center" wrapText="1"/>
    </xf>
    <xf numFmtId="49" fontId="22" fillId="0" borderId="8" xfId="3" applyNumberFormat="1" applyFont="1" applyFill="1" applyBorder="1" applyAlignment="1">
      <alignment horizontal="center" vertical="center" wrapText="1"/>
    </xf>
    <xf numFmtId="9" fontId="22" fillId="0" borderId="4" xfId="0" applyNumberFormat="1" applyFont="1" applyFill="1" applyBorder="1" applyAlignment="1">
      <alignment horizontal="center" vertical="center" wrapText="1"/>
    </xf>
    <xf numFmtId="9" fontId="22" fillId="0" borderId="10" xfId="0" applyNumberFormat="1" applyFont="1" applyFill="1" applyBorder="1" applyAlignment="1">
      <alignment horizontal="center" vertical="center" wrapText="1"/>
    </xf>
    <xf numFmtId="9" fontId="22" fillId="0" borderId="8" xfId="0" applyNumberFormat="1" applyFont="1" applyFill="1" applyBorder="1" applyAlignment="1">
      <alignment horizontal="center" vertical="center" wrapText="1"/>
    </xf>
    <xf numFmtId="9" fontId="22" fillId="2" borderId="8" xfId="0" applyNumberFormat="1" applyFont="1" applyFill="1" applyBorder="1" applyAlignment="1">
      <alignment horizontal="center" vertical="center" wrapText="1"/>
    </xf>
    <xf numFmtId="1" fontId="36" fillId="0" borderId="4" xfId="0" applyNumberFormat="1" applyFont="1" applyFill="1" applyBorder="1" applyAlignment="1">
      <alignment horizontal="justify" vertical="center" wrapText="1"/>
    </xf>
    <xf numFmtId="1" fontId="36" fillId="0" borderId="8" xfId="0" applyNumberFormat="1" applyFont="1" applyFill="1" applyBorder="1" applyAlignment="1">
      <alignment horizontal="justify" vertical="center" wrapText="1"/>
    </xf>
    <xf numFmtId="0" fontId="17" fillId="6" borderId="5" xfId="0" applyFont="1" applyFill="1" applyBorder="1" applyAlignment="1">
      <alignment horizontal="center" vertical="center" wrapText="1"/>
    </xf>
    <xf numFmtId="9" fontId="22" fillId="0" borderId="4" xfId="3" applyFont="1" applyFill="1" applyBorder="1" applyAlignment="1">
      <alignment horizontal="center" vertical="center" wrapText="1"/>
    </xf>
    <xf numFmtId="9" fontId="22" fillId="0" borderId="8" xfId="3" applyFont="1" applyFill="1" applyBorder="1" applyAlignment="1">
      <alignment horizontal="center" vertical="center" wrapText="1"/>
    </xf>
    <xf numFmtId="9" fontId="22" fillId="0" borderId="10" xfId="0" applyNumberFormat="1" applyFont="1" applyFill="1" applyBorder="1" applyAlignment="1">
      <alignment horizontal="center" vertical="center" textRotation="90" wrapText="1"/>
    </xf>
    <xf numFmtId="0" fontId="8" fillId="6" borderId="4" xfId="0" applyFont="1" applyFill="1" applyBorder="1" applyAlignment="1">
      <alignment horizontal="center" vertical="center" wrapText="1"/>
    </xf>
    <xf numFmtId="165" fontId="23" fillId="0" borderId="8" xfId="1" applyNumberFormat="1" applyFont="1" applyFill="1" applyBorder="1" applyAlignment="1">
      <alignment horizontal="center" vertical="center" wrapText="1"/>
    </xf>
    <xf numFmtId="0" fontId="6" fillId="2" borderId="0" xfId="0" applyFont="1" applyFill="1" applyBorder="1" applyAlignment="1">
      <alignment horizontal="center" vertical="center" wrapText="1"/>
    </xf>
    <xf numFmtId="1" fontId="38" fillId="0" borderId="9" xfId="0" applyNumberFormat="1" applyFont="1" applyFill="1" applyBorder="1" applyAlignment="1">
      <alignment horizontal="justify" vertical="center" wrapText="1"/>
    </xf>
    <xf numFmtId="9" fontId="38" fillId="0" borderId="9" xfId="0" quotePrefix="1" applyNumberFormat="1" applyFont="1" applyFill="1" applyBorder="1" applyAlignment="1">
      <alignment horizontal="center" vertical="center" wrapText="1"/>
    </xf>
    <xf numFmtId="9" fontId="38" fillId="0" borderId="9" xfId="0" applyNumberFormat="1" applyFont="1" applyFill="1" applyBorder="1" applyAlignment="1">
      <alignment horizontal="justify" vertical="center" wrapText="1"/>
    </xf>
    <xf numFmtId="9" fontId="38" fillId="0" borderId="9" xfId="0" quotePrefix="1" applyNumberFormat="1" applyFont="1" applyFill="1" applyBorder="1" applyAlignment="1">
      <alignment horizontal="justify" vertical="center" wrapText="1"/>
    </xf>
    <xf numFmtId="3" fontId="28" fillId="0" borderId="9" xfId="1" applyNumberFormat="1" applyFont="1" applyFill="1" applyBorder="1" applyAlignment="1">
      <alignment horizontal="justify" vertical="center" wrapText="1"/>
    </xf>
    <xf numFmtId="9" fontId="28" fillId="0" borderId="4" xfId="0" quotePrefix="1" applyNumberFormat="1" applyFont="1" applyFill="1" applyBorder="1" applyAlignment="1">
      <alignment vertical="center" wrapText="1"/>
    </xf>
    <xf numFmtId="9" fontId="28" fillId="0" borderId="10" xfId="0" quotePrefix="1" applyNumberFormat="1" applyFont="1" applyFill="1" applyBorder="1" applyAlignment="1">
      <alignment vertical="center" wrapText="1"/>
    </xf>
    <xf numFmtId="9" fontId="28" fillId="0" borderId="8" xfId="0" quotePrefix="1" applyNumberFormat="1" applyFont="1" applyFill="1" applyBorder="1" applyAlignment="1">
      <alignment vertical="center" wrapText="1"/>
    </xf>
    <xf numFmtId="9" fontId="28" fillId="0" borderId="10" xfId="0" quotePrefix="1" applyNumberFormat="1" applyFont="1" applyFill="1" applyBorder="1" applyAlignment="1">
      <alignment horizontal="center" vertical="center" wrapText="1"/>
    </xf>
    <xf numFmtId="9" fontId="28" fillId="0" borderId="9" xfId="0" quotePrefix="1" applyNumberFormat="1" applyFont="1" applyFill="1" applyBorder="1" applyAlignment="1">
      <alignment vertical="center" wrapText="1"/>
    </xf>
    <xf numFmtId="3" fontId="2" fillId="2" borderId="0" xfId="0" applyNumberFormat="1" applyFont="1" applyFill="1"/>
    <xf numFmtId="10" fontId="2" fillId="0" borderId="0" xfId="1" applyNumberFormat="1" applyFont="1"/>
    <xf numFmtId="9" fontId="28" fillId="0" borderId="8" xfId="0" quotePrefix="1" applyNumberFormat="1" applyFont="1" applyFill="1" applyBorder="1" applyAlignment="1">
      <alignment vertical="top" wrapText="1"/>
    </xf>
    <xf numFmtId="0" fontId="3" fillId="2" borderId="16" xfId="0" applyFont="1" applyFill="1" applyBorder="1" applyAlignment="1">
      <alignment horizontal="center" vertical="center" textRotation="90" wrapText="1"/>
    </xf>
    <xf numFmtId="0" fontId="12" fillId="0" borderId="4" xfId="0" applyFont="1" applyFill="1" applyBorder="1" applyAlignment="1">
      <alignment horizontal="center" vertical="center" wrapText="1"/>
    </xf>
    <xf numFmtId="0" fontId="12" fillId="0" borderId="8" xfId="0" applyFont="1" applyFill="1" applyBorder="1" applyAlignment="1">
      <alignment horizontal="center" vertical="center" wrapText="1"/>
    </xf>
    <xf numFmtId="49" fontId="12" fillId="0" borderId="4" xfId="3" applyNumberFormat="1" applyFont="1" applyFill="1" applyBorder="1" applyAlignment="1">
      <alignment horizontal="center" vertical="center" wrapText="1"/>
    </xf>
    <xf numFmtId="49" fontId="12" fillId="0" borderId="10" xfId="3" applyNumberFormat="1" applyFont="1" applyFill="1" applyBorder="1" applyAlignment="1">
      <alignment horizontal="center" vertical="center" wrapText="1"/>
    </xf>
    <xf numFmtId="49" fontId="12" fillId="0" borderId="8" xfId="3" applyNumberFormat="1"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2" fillId="0" borderId="10" xfId="0" applyFont="1" applyFill="1" applyBorder="1" applyAlignment="1">
      <alignment horizontal="center" vertical="center"/>
    </xf>
    <xf numFmtId="0" fontId="23" fillId="0" borderId="4" xfId="0" applyFont="1" applyFill="1" applyBorder="1" applyAlignment="1">
      <alignment horizontal="justify" vertical="center" wrapText="1"/>
    </xf>
    <xf numFmtId="0" fontId="23" fillId="0" borderId="10" xfId="0" applyFont="1" applyFill="1" applyBorder="1" applyAlignment="1">
      <alignment horizontal="justify" vertical="center" wrapText="1"/>
    </xf>
    <xf numFmtId="0" fontId="23" fillId="0" borderId="8" xfId="0" applyFont="1" applyFill="1" applyBorder="1" applyAlignment="1">
      <alignment horizontal="justify" vertical="center" wrapText="1"/>
    </xf>
    <xf numFmtId="0" fontId="8" fillId="6" borderId="4" xfId="0" applyFont="1" applyFill="1" applyBorder="1" applyAlignment="1">
      <alignment horizontal="center" vertical="center" wrapText="1"/>
    </xf>
    <xf numFmtId="0" fontId="17" fillId="6" borderId="5" xfId="0" applyFont="1" applyFill="1" applyBorder="1" applyAlignment="1">
      <alignment horizontal="center" vertical="center" wrapText="1"/>
    </xf>
    <xf numFmtId="49" fontId="22" fillId="0" borderId="4" xfId="3" applyNumberFormat="1" applyFont="1" applyFill="1" applyBorder="1" applyAlignment="1">
      <alignment horizontal="center" vertical="center" wrapText="1"/>
    </xf>
    <xf numFmtId="49" fontId="22" fillId="0" borderId="8" xfId="3" applyNumberFormat="1" applyFont="1" applyFill="1" applyBorder="1" applyAlignment="1">
      <alignment horizontal="center" vertical="center" wrapText="1"/>
    </xf>
    <xf numFmtId="9" fontId="22" fillId="0" borderId="4" xfId="0" applyNumberFormat="1" applyFont="1" applyFill="1" applyBorder="1" applyAlignment="1">
      <alignment horizontal="center" vertical="center" wrapText="1"/>
    </xf>
    <xf numFmtId="9" fontId="22" fillId="0" borderId="8" xfId="0" applyNumberFormat="1" applyFont="1" applyFill="1" applyBorder="1" applyAlignment="1">
      <alignment horizontal="center" vertical="center" wrapText="1"/>
    </xf>
    <xf numFmtId="9" fontId="22" fillId="0" borderId="10" xfId="0" applyNumberFormat="1" applyFont="1" applyFill="1" applyBorder="1" applyAlignment="1">
      <alignment horizontal="center" vertical="center" wrapText="1"/>
    </xf>
    <xf numFmtId="9" fontId="23" fillId="0" borderId="8" xfId="0" applyNumberFormat="1" applyFont="1" applyFill="1" applyBorder="1" applyAlignment="1">
      <alignment horizontal="justify" vertical="center" wrapText="1"/>
    </xf>
    <xf numFmtId="9" fontId="23" fillId="0" borderId="8" xfId="0" applyNumberFormat="1" applyFont="1" applyFill="1" applyBorder="1" applyAlignment="1">
      <alignment horizontal="center" vertical="center" wrapText="1"/>
    </xf>
    <xf numFmtId="9" fontId="22" fillId="0" borderId="10" xfId="0" applyNumberFormat="1" applyFont="1" applyFill="1" applyBorder="1" applyAlignment="1">
      <alignment horizontal="center" vertical="center" textRotation="90" wrapText="1"/>
    </xf>
    <xf numFmtId="9" fontId="22" fillId="2" borderId="8" xfId="0" applyNumberFormat="1" applyFont="1" applyFill="1" applyBorder="1" applyAlignment="1">
      <alignment horizontal="center" vertical="center" wrapText="1"/>
    </xf>
    <xf numFmtId="9" fontId="22" fillId="0" borderId="4" xfId="3" applyNumberFormat="1" applyFont="1" applyFill="1" applyBorder="1" applyAlignment="1">
      <alignment horizontal="center" vertical="center" textRotation="90" wrapText="1"/>
    </xf>
    <xf numFmtId="9" fontId="22" fillId="0" borderId="8" xfId="3" applyNumberFormat="1" applyFont="1" applyFill="1" applyBorder="1" applyAlignment="1">
      <alignment horizontal="center" vertical="center" textRotation="90" wrapText="1"/>
    </xf>
    <xf numFmtId="1" fontId="28" fillId="0" borderId="4" xfId="0" applyNumberFormat="1" applyFont="1" applyFill="1" applyBorder="1" applyAlignment="1">
      <alignment horizontal="justify" vertical="center" wrapText="1"/>
    </xf>
    <xf numFmtId="1" fontId="28" fillId="0" borderId="8" xfId="0" applyNumberFormat="1" applyFont="1" applyFill="1" applyBorder="1" applyAlignment="1">
      <alignment horizontal="justify" vertical="center" wrapText="1"/>
    </xf>
    <xf numFmtId="9" fontId="28" fillId="0" borderId="8" xfId="0" applyNumberFormat="1" applyFont="1" applyFill="1" applyBorder="1" applyAlignment="1">
      <alignment horizontal="justify" vertical="center" wrapText="1"/>
    </xf>
    <xf numFmtId="9" fontId="22" fillId="0" borderId="4" xfId="3" applyFont="1" applyFill="1" applyBorder="1" applyAlignment="1">
      <alignment horizontal="center" vertical="center" wrapText="1"/>
    </xf>
    <xf numFmtId="9" fontId="22" fillId="0" borderId="8" xfId="3" applyFont="1" applyFill="1" applyBorder="1" applyAlignment="1">
      <alignment horizontal="center" vertical="center" wrapText="1"/>
    </xf>
    <xf numFmtId="9" fontId="28" fillId="0" borderId="4" xfId="0" quotePrefix="1" applyNumberFormat="1" applyFont="1" applyFill="1" applyBorder="1" applyAlignment="1">
      <alignment horizontal="justify" vertical="center" wrapText="1"/>
    </xf>
    <xf numFmtId="9" fontId="28" fillId="0" borderId="8" xfId="0" quotePrefix="1" applyNumberFormat="1" applyFont="1" applyFill="1" applyBorder="1" applyAlignment="1">
      <alignment horizontal="justify" vertical="center" wrapText="1"/>
    </xf>
    <xf numFmtId="165" fontId="23" fillId="0" borderId="8" xfId="1" applyNumberFormat="1" applyFont="1" applyFill="1" applyBorder="1" applyAlignment="1">
      <alignment horizontal="center" vertical="center" wrapText="1"/>
    </xf>
    <xf numFmtId="0" fontId="6" fillId="2" borderId="0" xfId="0" applyFont="1" applyFill="1" applyBorder="1" applyAlignment="1">
      <alignment horizontal="center" vertical="center" wrapText="1"/>
    </xf>
    <xf numFmtId="10" fontId="26" fillId="0" borderId="34" xfId="1" applyNumberFormat="1" applyFont="1" applyBorder="1" applyAlignment="1" applyProtection="1">
      <alignment horizontal="center" vertical="center" wrapText="1"/>
    </xf>
    <xf numFmtId="0" fontId="13" fillId="2" borderId="35" xfId="0" applyFont="1" applyFill="1" applyBorder="1" applyAlignment="1">
      <alignment vertical="center" wrapText="1"/>
    </xf>
    <xf numFmtId="0" fontId="3" fillId="2" borderId="20" xfId="0" applyFont="1" applyFill="1" applyBorder="1" applyAlignment="1">
      <alignment vertical="center" textRotation="90" wrapText="1"/>
    </xf>
    <xf numFmtId="10" fontId="26" fillId="0" borderId="36" xfId="1" applyNumberFormat="1" applyFont="1" applyBorder="1" applyAlignment="1" applyProtection="1">
      <alignment horizontal="center" vertical="center" wrapText="1"/>
    </xf>
    <xf numFmtId="9" fontId="22" fillId="0" borderId="10" xfId="3" applyNumberFormat="1" applyFont="1" applyFill="1" applyBorder="1" applyAlignment="1">
      <alignment vertical="center" textRotation="90" wrapText="1"/>
    </xf>
    <xf numFmtId="9" fontId="22" fillId="0" borderId="8" xfId="3" applyNumberFormat="1" applyFont="1" applyFill="1" applyBorder="1" applyAlignment="1">
      <alignment vertical="center" textRotation="90" wrapText="1"/>
    </xf>
    <xf numFmtId="1" fontId="23" fillId="0" borderId="8" xfId="1" applyNumberFormat="1" applyFont="1" applyFill="1" applyBorder="1" applyAlignment="1">
      <alignment horizontal="center" vertical="center" wrapText="1"/>
    </xf>
    <xf numFmtId="1" fontId="28" fillId="0" borderId="8" xfId="1" applyNumberFormat="1" applyFont="1" applyFill="1" applyBorder="1" applyAlignment="1">
      <alignment horizontal="justify" vertical="center" wrapText="1"/>
    </xf>
    <xf numFmtId="9" fontId="19" fillId="0" borderId="0" xfId="5" applyNumberFormat="1"/>
    <xf numFmtId="0" fontId="12" fillId="0" borderId="4" xfId="0" applyFont="1" applyFill="1" applyBorder="1" applyAlignment="1">
      <alignment horizontal="center" vertical="center" wrapText="1"/>
    </xf>
    <xf numFmtId="0" fontId="12" fillId="0" borderId="8" xfId="0" applyFont="1" applyFill="1" applyBorder="1" applyAlignment="1">
      <alignment horizontal="center" vertical="center" wrapText="1"/>
    </xf>
    <xf numFmtId="49" fontId="12" fillId="0" borderId="4" xfId="3" applyNumberFormat="1" applyFont="1" applyFill="1" applyBorder="1" applyAlignment="1">
      <alignment horizontal="center" vertical="center" wrapText="1"/>
    </xf>
    <xf numFmtId="49" fontId="12" fillId="0" borderId="10" xfId="3" applyNumberFormat="1" applyFont="1" applyFill="1" applyBorder="1" applyAlignment="1">
      <alignment horizontal="center" vertical="center" wrapText="1"/>
    </xf>
    <xf numFmtId="49" fontId="12" fillId="0" borderId="8" xfId="3" applyNumberFormat="1" applyFont="1" applyFill="1" applyBorder="1" applyAlignment="1">
      <alignment horizontal="center" vertical="center" wrapText="1"/>
    </xf>
    <xf numFmtId="0" fontId="12" fillId="0" borderId="8" xfId="0" applyFont="1" applyFill="1" applyBorder="1" applyAlignment="1">
      <alignment horizontal="center" vertical="center"/>
    </xf>
    <xf numFmtId="0" fontId="23" fillId="0" borderId="4" xfId="0" applyFont="1" applyFill="1" applyBorder="1" applyAlignment="1">
      <alignment horizontal="justify" vertical="center" wrapText="1"/>
    </xf>
    <xf numFmtId="0" fontId="23" fillId="0" borderId="10" xfId="0" applyFont="1" applyFill="1" applyBorder="1" applyAlignment="1">
      <alignment horizontal="justify" vertical="center" wrapText="1"/>
    </xf>
    <xf numFmtId="0" fontId="23" fillId="0" borderId="8" xfId="0" applyFont="1" applyFill="1" applyBorder="1" applyAlignment="1">
      <alignment horizontal="justify" vertical="center" wrapText="1"/>
    </xf>
    <xf numFmtId="0" fontId="8" fillId="6" borderId="4" xfId="0" applyFont="1" applyFill="1" applyBorder="1" applyAlignment="1">
      <alignment horizontal="center" vertical="center" wrapText="1"/>
    </xf>
    <xf numFmtId="0" fontId="17" fillId="6" borderId="5" xfId="0" applyFont="1" applyFill="1" applyBorder="1" applyAlignment="1">
      <alignment horizontal="center" vertical="center" wrapText="1"/>
    </xf>
    <xf numFmtId="49" fontId="22" fillId="0" borderId="4" xfId="3" applyNumberFormat="1" applyFont="1" applyFill="1" applyBorder="1" applyAlignment="1">
      <alignment horizontal="center" vertical="center" wrapText="1"/>
    </xf>
    <xf numFmtId="49" fontId="22" fillId="0" borderId="8" xfId="3" applyNumberFormat="1" applyFont="1" applyFill="1" applyBorder="1" applyAlignment="1">
      <alignment horizontal="center" vertical="center" wrapText="1"/>
    </xf>
    <xf numFmtId="9" fontId="22" fillId="0" borderId="4" xfId="0" applyNumberFormat="1" applyFont="1" applyFill="1" applyBorder="1" applyAlignment="1">
      <alignment horizontal="center" vertical="center" wrapText="1"/>
    </xf>
    <xf numFmtId="9" fontId="22" fillId="0" borderId="8" xfId="0" applyNumberFormat="1" applyFont="1" applyFill="1" applyBorder="1" applyAlignment="1">
      <alignment horizontal="center" vertical="center" wrapText="1"/>
    </xf>
    <xf numFmtId="9" fontId="22" fillId="0" borderId="10" xfId="0" applyNumberFormat="1" applyFont="1" applyFill="1" applyBorder="1" applyAlignment="1">
      <alignment horizontal="center" vertical="center" wrapText="1"/>
    </xf>
    <xf numFmtId="9" fontId="23" fillId="0" borderId="8" xfId="0" applyNumberFormat="1" applyFont="1" applyFill="1" applyBorder="1" applyAlignment="1">
      <alignment horizontal="justify" vertical="center" wrapText="1"/>
    </xf>
    <xf numFmtId="9" fontId="23" fillId="0" borderId="8" xfId="0" applyNumberFormat="1" applyFont="1" applyFill="1" applyBorder="1" applyAlignment="1">
      <alignment horizontal="center" vertical="center" wrapText="1"/>
    </xf>
    <xf numFmtId="9" fontId="22" fillId="0" borderId="8" xfId="0" applyNumberFormat="1" applyFont="1" applyFill="1" applyBorder="1" applyAlignment="1">
      <alignment horizontal="center" vertical="center" textRotation="90" wrapText="1"/>
    </xf>
    <xf numFmtId="1" fontId="23" fillId="0" borderId="8" xfId="0" applyNumberFormat="1" applyFont="1" applyFill="1" applyBorder="1" applyAlignment="1">
      <alignment horizontal="center" vertical="center" wrapText="1"/>
    </xf>
    <xf numFmtId="9" fontId="22" fillId="2" borderId="8" xfId="0" applyNumberFormat="1" applyFont="1" applyFill="1" applyBorder="1" applyAlignment="1">
      <alignment horizontal="center" vertical="center" wrapText="1"/>
    </xf>
    <xf numFmtId="9" fontId="22" fillId="0" borderId="4" xfId="3" applyNumberFormat="1" applyFont="1" applyFill="1" applyBorder="1" applyAlignment="1">
      <alignment horizontal="center" vertical="center" textRotation="90" wrapText="1"/>
    </xf>
    <xf numFmtId="9" fontId="22" fillId="0" borderId="8" xfId="3" applyNumberFormat="1" applyFont="1" applyFill="1" applyBorder="1" applyAlignment="1">
      <alignment horizontal="center" vertical="center" textRotation="90" wrapText="1"/>
    </xf>
    <xf numFmtId="1" fontId="28" fillId="0" borderId="4" xfId="0" applyNumberFormat="1" applyFont="1" applyFill="1" applyBorder="1" applyAlignment="1">
      <alignment horizontal="justify" vertical="center" wrapText="1"/>
    </xf>
    <xf numFmtId="1" fontId="28" fillId="0" borderId="8" xfId="0" applyNumberFormat="1" applyFont="1" applyFill="1" applyBorder="1" applyAlignment="1">
      <alignment horizontal="justify" vertical="center" wrapText="1"/>
    </xf>
    <xf numFmtId="9" fontId="28" fillId="0" borderId="8" xfId="0" applyNumberFormat="1" applyFont="1" applyFill="1" applyBorder="1" applyAlignment="1">
      <alignment horizontal="justify" vertical="center" wrapText="1"/>
    </xf>
    <xf numFmtId="9" fontId="22" fillId="0" borderId="4" xfId="3" applyFont="1" applyFill="1" applyBorder="1" applyAlignment="1">
      <alignment horizontal="center" vertical="center" wrapText="1"/>
    </xf>
    <xf numFmtId="9" fontId="22" fillId="0" borderId="8" xfId="3" applyFont="1" applyFill="1" applyBorder="1" applyAlignment="1">
      <alignment horizontal="center" vertical="center" wrapText="1"/>
    </xf>
    <xf numFmtId="9" fontId="28" fillId="0" borderId="4" xfId="0" quotePrefix="1" applyNumberFormat="1" applyFont="1" applyFill="1" applyBorder="1" applyAlignment="1">
      <alignment horizontal="justify" vertical="center" wrapText="1"/>
    </xf>
    <xf numFmtId="9" fontId="28" fillId="0" borderId="8" xfId="0" quotePrefix="1" applyNumberFormat="1" applyFont="1" applyFill="1" applyBorder="1" applyAlignment="1">
      <alignment horizontal="justify" vertical="center" wrapText="1"/>
    </xf>
    <xf numFmtId="1" fontId="28" fillId="0" borderId="10" xfId="0" applyNumberFormat="1" applyFont="1" applyFill="1" applyBorder="1" applyAlignment="1">
      <alignment horizontal="justify" vertical="center" wrapText="1"/>
    </xf>
    <xf numFmtId="165" fontId="23" fillId="0" borderId="8" xfId="1" applyNumberFormat="1" applyFont="1" applyFill="1" applyBorder="1" applyAlignment="1">
      <alignment horizontal="center" vertical="center" wrapText="1"/>
    </xf>
    <xf numFmtId="0" fontId="6" fillId="2" borderId="0" xfId="0" applyFont="1" applyFill="1" applyBorder="1" applyAlignment="1">
      <alignment horizontal="center" vertical="center" wrapText="1"/>
    </xf>
    <xf numFmtId="0" fontId="28" fillId="0" borderId="9" xfId="0" quotePrefix="1" applyNumberFormat="1" applyFont="1" applyFill="1" applyBorder="1" applyAlignment="1">
      <alignment horizontal="justify" vertical="center" wrapText="1"/>
    </xf>
    <xf numFmtId="1" fontId="33" fillId="0" borderId="9" xfId="0" applyNumberFormat="1" applyFont="1" applyFill="1" applyBorder="1" applyAlignment="1">
      <alignment horizontal="justify" vertical="center" wrapText="1"/>
    </xf>
    <xf numFmtId="9" fontId="33" fillId="0" borderId="9" xfId="0" quotePrefix="1" applyNumberFormat="1" applyFont="1" applyFill="1" applyBorder="1" applyAlignment="1">
      <alignment horizontal="center" vertical="center" wrapText="1"/>
    </xf>
    <xf numFmtId="1" fontId="33" fillId="0" borderId="8" xfId="0" applyNumberFormat="1" applyFont="1" applyFill="1" applyBorder="1" applyAlignment="1">
      <alignment horizontal="justify" vertical="center" wrapText="1"/>
    </xf>
    <xf numFmtId="9" fontId="33" fillId="0" borderId="8" xfId="0" quotePrefix="1" applyNumberFormat="1" applyFont="1" applyFill="1" applyBorder="1" applyAlignment="1">
      <alignment vertical="top" wrapText="1"/>
    </xf>
    <xf numFmtId="9" fontId="33" fillId="0" borderId="4" xfId="0" quotePrefix="1" applyNumberFormat="1" applyFont="1" applyFill="1" applyBorder="1" applyAlignment="1">
      <alignment horizontal="justify" vertical="center" wrapText="1"/>
    </xf>
    <xf numFmtId="9" fontId="41" fillId="0" borderId="9" xfId="0" applyNumberFormat="1" applyFont="1" applyFill="1" applyBorder="1" applyAlignment="1">
      <alignment vertical="center" wrapText="1"/>
    </xf>
    <xf numFmtId="9" fontId="42" fillId="0" borderId="9" xfId="0" applyNumberFormat="1" applyFont="1" applyFill="1" applyBorder="1" applyAlignment="1">
      <alignment horizontal="justify" vertical="center" wrapText="1"/>
    </xf>
    <xf numFmtId="9" fontId="41" fillId="0" borderId="9" xfId="0" applyNumberFormat="1" applyFont="1" applyFill="1" applyBorder="1" applyAlignment="1">
      <alignment horizontal="center" vertical="center" wrapText="1"/>
    </xf>
    <xf numFmtId="9" fontId="43" fillId="0" borderId="9" xfId="0" applyNumberFormat="1" applyFont="1" applyFill="1" applyBorder="1" applyAlignment="1">
      <alignment horizontal="center" vertical="center" wrapText="1"/>
    </xf>
    <xf numFmtId="9" fontId="42" fillId="0" borderId="9" xfId="0" applyNumberFormat="1" applyFont="1" applyFill="1" applyBorder="1" applyAlignment="1">
      <alignment horizontal="center" vertical="center" wrapText="1"/>
    </xf>
    <xf numFmtId="9" fontId="44" fillId="2" borderId="9" xfId="0" applyNumberFormat="1" applyFont="1" applyFill="1" applyBorder="1" applyAlignment="1">
      <alignment vertical="center" wrapText="1"/>
    </xf>
    <xf numFmtId="9" fontId="44" fillId="2" borderId="9" xfId="0" applyNumberFormat="1" applyFont="1" applyFill="1" applyBorder="1" applyAlignment="1">
      <alignment horizontal="center" vertical="center" wrapText="1"/>
    </xf>
    <xf numFmtId="9" fontId="45" fillId="2" borderId="9" xfId="0" applyNumberFormat="1" applyFont="1" applyFill="1" applyBorder="1" applyAlignment="1">
      <alignment horizontal="center" vertical="center" wrapText="1"/>
    </xf>
    <xf numFmtId="9" fontId="46" fillId="7" borderId="9" xfId="0" applyNumberFormat="1" applyFont="1" applyFill="1" applyBorder="1" applyAlignment="1">
      <alignment horizontal="justify" vertical="center" wrapText="1"/>
    </xf>
    <xf numFmtId="9" fontId="45" fillId="7" borderId="9" xfId="0" applyNumberFormat="1" applyFont="1" applyFill="1" applyBorder="1" applyAlignment="1">
      <alignment horizontal="center" vertical="center" wrapText="1"/>
    </xf>
    <xf numFmtId="9" fontId="46" fillId="7" borderId="9" xfId="0" applyNumberFormat="1" applyFont="1" applyFill="1" applyBorder="1" applyAlignment="1">
      <alignment horizontal="center" vertical="center" wrapText="1"/>
    </xf>
    <xf numFmtId="9" fontId="46" fillId="7" borderId="9" xfId="1" applyFont="1" applyFill="1" applyBorder="1" applyAlignment="1">
      <alignment horizontal="center" vertical="center" wrapText="1"/>
    </xf>
    <xf numFmtId="10" fontId="39" fillId="7" borderId="36" xfId="1" applyNumberFormat="1" applyFont="1" applyFill="1" applyBorder="1" applyAlignment="1" applyProtection="1">
      <alignment horizontal="center" vertical="center" wrapText="1"/>
    </xf>
    <xf numFmtId="3" fontId="33" fillId="7" borderId="9" xfId="1" applyNumberFormat="1" applyFont="1" applyFill="1" applyBorder="1" applyAlignment="1">
      <alignment horizontal="justify" vertical="center" wrapText="1"/>
    </xf>
    <xf numFmtId="9" fontId="33" fillId="7" borderId="9" xfId="0" quotePrefix="1" applyNumberFormat="1" applyFont="1" applyFill="1" applyBorder="1" applyAlignment="1">
      <alignment horizontal="justify" vertical="center" wrapText="1"/>
    </xf>
    <xf numFmtId="9" fontId="44" fillId="2" borderId="9" xfId="3" applyFont="1" applyFill="1" applyBorder="1" applyAlignment="1">
      <alignment horizontal="center" vertical="center" wrapText="1"/>
    </xf>
    <xf numFmtId="9" fontId="45" fillId="4" borderId="9" xfId="0" applyNumberFormat="1" applyFont="1" applyFill="1" applyBorder="1" applyAlignment="1">
      <alignment horizontal="center" vertical="center" wrapText="1"/>
    </xf>
    <xf numFmtId="9" fontId="46" fillId="4" borderId="9" xfId="0" applyNumberFormat="1" applyFont="1" applyFill="1" applyBorder="1" applyAlignment="1">
      <alignment horizontal="justify" vertical="center" wrapText="1"/>
    </xf>
    <xf numFmtId="9" fontId="46" fillId="4" borderId="9" xfId="0" applyNumberFormat="1" applyFont="1" applyFill="1" applyBorder="1" applyAlignment="1">
      <alignment horizontal="center" vertical="center" wrapText="1"/>
    </xf>
    <xf numFmtId="1" fontId="46" fillId="4" borderId="9" xfId="0" applyNumberFormat="1" applyFont="1" applyFill="1" applyBorder="1" applyAlignment="1">
      <alignment horizontal="center" vertical="center" wrapText="1"/>
    </xf>
    <xf numFmtId="10" fontId="39" fillId="4" borderId="24" xfId="1" applyNumberFormat="1" applyFont="1" applyFill="1" applyBorder="1" applyAlignment="1" applyProtection="1">
      <alignment horizontal="center" vertical="center" wrapText="1"/>
    </xf>
    <xf numFmtId="1" fontId="33" fillId="4" borderId="9" xfId="0" applyNumberFormat="1" applyFont="1" applyFill="1" applyBorder="1" applyAlignment="1">
      <alignment horizontal="justify" vertical="center" wrapText="1"/>
    </xf>
    <xf numFmtId="9" fontId="40" fillId="2" borderId="9" xfId="0" applyNumberFormat="1" applyFont="1" applyFill="1" applyBorder="1" applyAlignment="1">
      <alignment horizontal="center" vertical="center" wrapText="1"/>
    </xf>
    <xf numFmtId="10" fontId="47" fillId="0" borderId="25" xfId="1" applyNumberFormat="1" applyFont="1" applyBorder="1" applyAlignment="1">
      <alignment horizontal="center" vertical="center"/>
    </xf>
    <xf numFmtId="10" fontId="47" fillId="0" borderId="25" xfId="5" applyNumberFormat="1" applyFont="1" applyBorder="1" applyAlignment="1">
      <alignment horizontal="center" vertical="center"/>
    </xf>
    <xf numFmtId="1" fontId="14" fillId="0" borderId="0" xfId="0" applyNumberFormat="1" applyFont="1" applyFill="1" applyBorder="1" applyAlignment="1">
      <alignment horizontal="center" vertical="center" wrapText="1"/>
    </xf>
    <xf numFmtId="168" fontId="23" fillId="0" borderId="9" xfId="1" applyNumberFormat="1" applyFont="1" applyFill="1" applyBorder="1" applyAlignment="1">
      <alignment horizontal="center" vertical="center" wrapText="1"/>
    </xf>
    <xf numFmtId="10" fontId="20" fillId="0" borderId="25" xfId="1" applyNumberFormat="1" applyFont="1" applyBorder="1" applyAlignment="1">
      <alignment horizontal="center" vertical="center"/>
    </xf>
    <xf numFmtId="10" fontId="20" fillId="0" borderId="29" xfId="1" applyNumberFormat="1" applyFont="1" applyBorder="1" applyAlignment="1">
      <alignment horizontal="center" vertical="center"/>
    </xf>
    <xf numFmtId="10" fontId="20" fillId="0" borderId="25" xfId="5" applyNumberFormat="1" applyFont="1" applyBorder="1" applyAlignment="1">
      <alignment horizontal="center" vertical="center"/>
    </xf>
    <xf numFmtId="10" fontId="20" fillId="0" borderId="33" xfId="1" applyNumberFormat="1" applyFont="1" applyBorder="1" applyAlignment="1">
      <alignment horizontal="center" vertical="center"/>
    </xf>
    <xf numFmtId="10" fontId="20" fillId="0" borderId="31" xfId="5" applyNumberFormat="1" applyFont="1" applyBorder="1" applyAlignment="1">
      <alignment horizontal="center" vertical="center"/>
    </xf>
    <xf numFmtId="10" fontId="20" fillId="0" borderId="32" xfId="1" applyNumberFormat="1" applyFont="1" applyBorder="1" applyAlignment="1">
      <alignment horizontal="center" vertical="center"/>
    </xf>
    <xf numFmtId="0" fontId="12" fillId="0" borderId="8" xfId="0" applyFont="1" applyFill="1" applyBorder="1" applyAlignment="1">
      <alignment horizontal="center" vertical="center" wrapText="1"/>
    </xf>
    <xf numFmtId="9" fontId="22" fillId="0" borderId="8" xfId="3" applyFont="1" applyFill="1" applyBorder="1" applyAlignment="1">
      <alignment horizontal="center" vertical="center" wrapText="1"/>
    </xf>
    <xf numFmtId="0" fontId="23" fillId="0" borderId="8" xfId="0" applyFont="1" applyFill="1" applyBorder="1" applyAlignment="1">
      <alignment horizontal="justify" vertical="center" wrapText="1"/>
    </xf>
    <xf numFmtId="9" fontId="22" fillId="0" borderId="8" xfId="3" applyNumberFormat="1" applyFont="1" applyFill="1" applyBorder="1" applyAlignment="1">
      <alignment horizontal="center" vertical="center" textRotation="90" wrapText="1"/>
    </xf>
    <xf numFmtId="49" fontId="22" fillId="0" borderId="8" xfId="3" applyNumberFormat="1" applyFont="1" applyFill="1" applyBorder="1" applyAlignment="1">
      <alignment horizontal="center" vertical="center" wrapText="1"/>
    </xf>
    <xf numFmtId="0" fontId="8" fillId="6" borderId="4" xfId="0" applyFont="1" applyFill="1" applyBorder="1" applyAlignment="1">
      <alignment horizontal="center" vertical="center" wrapText="1"/>
    </xf>
    <xf numFmtId="0" fontId="17" fillId="6" borderId="5" xfId="0" applyFont="1" applyFill="1" applyBorder="1" applyAlignment="1">
      <alignment horizontal="center" vertical="center" wrapText="1"/>
    </xf>
    <xf numFmtId="0" fontId="6" fillId="2" borderId="0" xfId="0" applyFont="1" applyFill="1" applyBorder="1" applyAlignment="1">
      <alignment horizontal="center" vertical="center" wrapText="1"/>
    </xf>
    <xf numFmtId="49" fontId="12" fillId="0" borderId="4" xfId="3" applyNumberFormat="1" applyFont="1" applyFill="1" applyBorder="1" applyAlignment="1">
      <alignment horizontal="center" vertical="center" wrapText="1"/>
    </xf>
    <xf numFmtId="49" fontId="12" fillId="0" borderId="8" xfId="3" applyNumberFormat="1" applyFont="1" applyFill="1" applyBorder="1" applyAlignment="1">
      <alignment horizontal="center" vertical="center" wrapText="1"/>
    </xf>
    <xf numFmtId="0" fontId="12" fillId="0" borderId="8" xfId="0" applyFont="1" applyFill="1" applyBorder="1" applyAlignment="1">
      <alignment horizontal="center" vertical="center"/>
    </xf>
    <xf numFmtId="0" fontId="23" fillId="0" borderId="4" xfId="0" applyFont="1" applyFill="1" applyBorder="1" applyAlignment="1">
      <alignment horizontal="justify" vertical="center" wrapText="1"/>
    </xf>
    <xf numFmtId="0" fontId="23" fillId="0" borderId="8" xfId="0" applyFont="1" applyFill="1" applyBorder="1" applyAlignment="1">
      <alignment horizontal="justify" vertical="center" wrapText="1"/>
    </xf>
    <xf numFmtId="49" fontId="22" fillId="0" borderId="4" xfId="3" applyNumberFormat="1" applyFont="1" applyFill="1" applyBorder="1" applyAlignment="1">
      <alignment horizontal="center" vertical="center" wrapText="1"/>
    </xf>
    <xf numFmtId="49" fontId="22" fillId="0" borderId="8" xfId="3" applyNumberFormat="1" applyFont="1" applyFill="1" applyBorder="1" applyAlignment="1">
      <alignment horizontal="center" vertical="center" wrapText="1"/>
    </xf>
    <xf numFmtId="9" fontId="22" fillId="0" borderId="4" xfId="0" applyNumberFormat="1" applyFont="1" applyFill="1" applyBorder="1" applyAlignment="1">
      <alignment horizontal="center" vertical="center" wrapText="1"/>
    </xf>
    <xf numFmtId="9" fontId="22" fillId="0" borderId="8" xfId="0" applyNumberFormat="1" applyFont="1" applyFill="1" applyBorder="1" applyAlignment="1">
      <alignment horizontal="center" vertical="center" wrapText="1"/>
    </xf>
    <xf numFmtId="9" fontId="22" fillId="0" borderId="10" xfId="0" applyNumberFormat="1" applyFont="1" applyFill="1" applyBorder="1" applyAlignment="1">
      <alignment horizontal="center" vertical="center" wrapText="1"/>
    </xf>
    <xf numFmtId="9" fontId="23" fillId="0" borderId="8" xfId="0" applyNumberFormat="1" applyFont="1" applyFill="1" applyBorder="1" applyAlignment="1">
      <alignment horizontal="justify" vertical="center" wrapText="1"/>
    </xf>
    <xf numFmtId="9" fontId="23" fillId="0" borderId="8" xfId="0" applyNumberFormat="1" applyFont="1" applyFill="1" applyBorder="1" applyAlignment="1">
      <alignment horizontal="center" vertical="center" wrapText="1"/>
    </xf>
    <xf numFmtId="9" fontId="22" fillId="0" borderId="8" xfId="0" applyNumberFormat="1" applyFont="1" applyFill="1" applyBorder="1" applyAlignment="1">
      <alignment horizontal="center" vertical="center" textRotation="90" wrapText="1"/>
    </xf>
    <xf numFmtId="1" fontId="23" fillId="0" borderId="8" xfId="0" applyNumberFormat="1" applyFont="1" applyFill="1" applyBorder="1" applyAlignment="1">
      <alignment horizontal="center" vertical="center" wrapText="1"/>
    </xf>
    <xf numFmtId="9" fontId="22" fillId="2" borderId="8" xfId="0" applyNumberFormat="1" applyFont="1" applyFill="1" applyBorder="1" applyAlignment="1">
      <alignment horizontal="center" vertical="center" wrapText="1"/>
    </xf>
    <xf numFmtId="1" fontId="28" fillId="0" borderId="4" xfId="0" applyNumberFormat="1" applyFont="1" applyFill="1" applyBorder="1" applyAlignment="1">
      <alignment horizontal="justify" vertical="center" wrapText="1"/>
    </xf>
    <xf numFmtId="1" fontId="28" fillId="0" borderId="8" xfId="0" applyNumberFormat="1" applyFont="1" applyFill="1" applyBorder="1" applyAlignment="1">
      <alignment horizontal="justify" vertical="center" wrapText="1"/>
    </xf>
    <xf numFmtId="9" fontId="28" fillId="0" borderId="8" xfId="0" applyNumberFormat="1" applyFont="1" applyFill="1" applyBorder="1" applyAlignment="1">
      <alignment horizontal="justify" vertical="center" wrapText="1"/>
    </xf>
    <xf numFmtId="9" fontId="22" fillId="0" borderId="8" xfId="3" applyFont="1" applyFill="1" applyBorder="1" applyAlignment="1">
      <alignment horizontal="center" vertical="center" wrapText="1"/>
    </xf>
    <xf numFmtId="9" fontId="28" fillId="0" borderId="4" xfId="0" quotePrefix="1" applyNumberFormat="1" applyFont="1" applyFill="1" applyBorder="1" applyAlignment="1">
      <alignment horizontal="justify" vertical="center" wrapText="1"/>
    </xf>
    <xf numFmtId="9" fontId="28" fillId="0" borderId="8" xfId="0" quotePrefix="1" applyNumberFormat="1" applyFont="1" applyFill="1" applyBorder="1" applyAlignment="1">
      <alignment horizontal="justify" vertical="center" wrapText="1"/>
    </xf>
    <xf numFmtId="1" fontId="28" fillId="0" borderId="10" xfId="0" applyNumberFormat="1" applyFont="1" applyFill="1" applyBorder="1" applyAlignment="1">
      <alignment horizontal="justify" vertical="center" wrapText="1"/>
    </xf>
    <xf numFmtId="9" fontId="41" fillId="0" borderId="8" xfId="0" applyNumberFormat="1" applyFont="1" applyFill="1" applyBorder="1" applyAlignment="1">
      <alignment horizontal="center" vertical="center" wrapText="1"/>
    </xf>
    <xf numFmtId="9" fontId="42" fillId="0" borderId="8" xfId="0" applyNumberFormat="1" applyFont="1" applyFill="1" applyBorder="1" applyAlignment="1">
      <alignment horizontal="justify" vertical="center" wrapText="1"/>
    </xf>
    <xf numFmtId="9" fontId="28" fillId="0" borderId="10" xfId="0" quotePrefix="1" applyNumberFormat="1" applyFont="1" applyFill="1" applyBorder="1" applyAlignment="1">
      <alignment horizontal="center" vertical="center" wrapText="1"/>
    </xf>
    <xf numFmtId="9" fontId="28" fillId="0" borderId="8" xfId="0" quotePrefix="1" applyNumberFormat="1" applyFont="1" applyFill="1" applyBorder="1" applyAlignment="1">
      <alignment horizontal="center" vertical="center" wrapText="1"/>
    </xf>
    <xf numFmtId="9" fontId="23" fillId="0" borderId="8" xfId="1" applyNumberFormat="1" applyFont="1" applyFill="1" applyBorder="1" applyAlignment="1">
      <alignment horizontal="center" vertical="center" wrapText="1"/>
    </xf>
    <xf numFmtId="165" fontId="23" fillId="0" borderId="8" xfId="1" applyNumberFormat="1" applyFont="1" applyFill="1" applyBorder="1" applyAlignment="1">
      <alignment horizontal="center" vertical="center" wrapText="1"/>
    </xf>
    <xf numFmtId="9" fontId="22" fillId="4" borderId="9" xfId="0" applyNumberFormat="1" applyFont="1" applyFill="1" applyBorder="1" applyAlignment="1">
      <alignment horizontal="center" vertical="center" wrapText="1"/>
    </xf>
    <xf numFmtId="0" fontId="18" fillId="2" borderId="10" xfId="0" applyFont="1" applyFill="1" applyBorder="1" applyAlignment="1">
      <alignment vertical="center" textRotation="90" wrapText="1"/>
    </xf>
    <xf numFmtId="0" fontId="18" fillId="2" borderId="8" xfId="0" applyFont="1" applyFill="1" applyBorder="1" applyAlignment="1">
      <alignment vertical="center" textRotation="90" wrapText="1"/>
    </xf>
    <xf numFmtId="0" fontId="18" fillId="2" borderId="10" xfId="0" applyFont="1" applyFill="1" applyBorder="1" applyAlignment="1">
      <alignment vertical="center" textRotation="90"/>
    </xf>
    <xf numFmtId="0" fontId="18" fillId="2" borderId="8" xfId="0" applyFont="1" applyFill="1" applyBorder="1" applyAlignment="1">
      <alignment vertical="center" textRotation="90"/>
    </xf>
    <xf numFmtId="1" fontId="28" fillId="4" borderId="9" xfId="0" applyNumberFormat="1" applyFont="1" applyFill="1" applyBorder="1" applyAlignment="1">
      <alignment horizontal="justify" vertical="center" wrapText="1"/>
    </xf>
    <xf numFmtId="3" fontId="28" fillId="7" borderId="9" xfId="1" applyNumberFormat="1" applyFont="1" applyFill="1" applyBorder="1" applyAlignment="1">
      <alignment horizontal="justify" vertical="center" wrapText="1"/>
    </xf>
    <xf numFmtId="9" fontId="28" fillId="7" borderId="9" xfId="0" quotePrefix="1" applyNumberFormat="1" applyFont="1" applyFill="1" applyBorder="1" applyAlignment="1">
      <alignment horizontal="justify" vertical="center" wrapText="1"/>
    </xf>
    <xf numFmtId="49" fontId="12" fillId="0" borderId="4" xfId="3" applyNumberFormat="1" applyFont="1" applyFill="1" applyBorder="1" applyAlignment="1">
      <alignment horizontal="center" vertical="center" wrapText="1"/>
    </xf>
    <xf numFmtId="49" fontId="12" fillId="0" borderId="8" xfId="3" applyNumberFormat="1" applyFont="1" applyFill="1" applyBorder="1" applyAlignment="1">
      <alignment horizontal="center" vertical="center" wrapText="1"/>
    </xf>
    <xf numFmtId="49" fontId="12" fillId="0" borderId="10" xfId="3" applyNumberFormat="1" applyFont="1" applyFill="1" applyBorder="1" applyAlignment="1">
      <alignment horizontal="center" vertical="center" wrapText="1"/>
    </xf>
    <xf numFmtId="9" fontId="22" fillId="2" borderId="8" xfId="0" applyNumberFormat="1" applyFont="1" applyFill="1" applyBorder="1" applyAlignment="1">
      <alignment horizontal="center" vertical="center" wrapText="1"/>
    </xf>
    <xf numFmtId="9" fontId="23" fillId="0" borderId="8" xfId="0" applyNumberFormat="1" applyFont="1" applyFill="1" applyBorder="1" applyAlignment="1">
      <alignment horizontal="justify" vertical="center" wrapText="1"/>
    </xf>
    <xf numFmtId="1" fontId="28" fillId="0" borderId="8" xfId="0" applyNumberFormat="1" applyFont="1" applyFill="1" applyBorder="1" applyAlignment="1">
      <alignment horizontal="justify" vertical="center" wrapText="1"/>
    </xf>
    <xf numFmtId="0" fontId="23" fillId="0" borderId="4" xfId="0" applyFont="1" applyFill="1" applyBorder="1" applyAlignment="1">
      <alignment horizontal="justify" vertical="center" wrapText="1"/>
    </xf>
    <xf numFmtId="0" fontId="23" fillId="0" borderId="10" xfId="0" applyFont="1" applyFill="1" applyBorder="1" applyAlignment="1">
      <alignment horizontal="justify" vertical="center" wrapText="1"/>
    </xf>
    <xf numFmtId="0" fontId="23" fillId="0" borderId="8" xfId="0" applyFont="1" applyFill="1" applyBorder="1" applyAlignment="1">
      <alignment horizontal="justify" vertical="center" wrapText="1"/>
    </xf>
    <xf numFmtId="49" fontId="22" fillId="0" borderId="4" xfId="3" applyNumberFormat="1" applyFont="1" applyFill="1" applyBorder="1" applyAlignment="1">
      <alignment horizontal="center" vertical="center" wrapText="1"/>
    </xf>
    <xf numFmtId="49" fontId="22" fillId="0" borderId="8" xfId="3" applyNumberFormat="1" applyFont="1" applyFill="1" applyBorder="1" applyAlignment="1">
      <alignment horizontal="center" vertical="center" wrapText="1"/>
    </xf>
    <xf numFmtId="9" fontId="22" fillId="0" borderId="4" xfId="0" applyNumberFormat="1" applyFont="1" applyFill="1" applyBorder="1" applyAlignment="1">
      <alignment horizontal="center" vertical="center" wrapText="1"/>
    </xf>
    <xf numFmtId="9" fontId="22" fillId="0" borderId="10" xfId="0" applyNumberFormat="1" applyFont="1" applyFill="1" applyBorder="1" applyAlignment="1">
      <alignment horizontal="center" vertical="center" wrapText="1"/>
    </xf>
    <xf numFmtId="9" fontId="22" fillId="0" borderId="8" xfId="0" applyNumberFormat="1" applyFont="1" applyFill="1" applyBorder="1" applyAlignment="1">
      <alignment horizontal="center" vertical="center" wrapText="1"/>
    </xf>
    <xf numFmtId="9" fontId="23" fillId="0" borderId="8" xfId="0" applyNumberFormat="1" applyFont="1" applyFill="1" applyBorder="1" applyAlignment="1">
      <alignment horizontal="center" vertical="center" wrapText="1"/>
    </xf>
    <xf numFmtId="1" fontId="23" fillId="0" borderId="8" xfId="0" applyNumberFormat="1" applyFont="1" applyFill="1" applyBorder="1" applyAlignment="1">
      <alignment horizontal="center" vertical="center" wrapText="1"/>
    </xf>
    <xf numFmtId="9" fontId="28" fillId="0" borderId="8" xfId="0" quotePrefix="1" applyNumberFormat="1" applyFont="1" applyFill="1" applyBorder="1" applyAlignment="1">
      <alignment horizontal="justify" vertical="center" wrapText="1"/>
    </xf>
    <xf numFmtId="0" fontId="13" fillId="2" borderId="19" xfId="0" applyFont="1" applyFill="1" applyBorder="1" applyAlignment="1">
      <alignment vertical="center" wrapText="1"/>
    </xf>
    <xf numFmtId="10" fontId="39" fillId="4" borderId="36" xfId="1" applyNumberFormat="1" applyFont="1" applyFill="1" applyBorder="1" applyAlignment="1" applyProtection="1">
      <alignment horizontal="center" vertical="center" wrapText="1"/>
    </xf>
    <xf numFmtId="0" fontId="12" fillId="0" borderId="9" xfId="0" applyFont="1" applyFill="1" applyBorder="1" applyAlignment="1">
      <alignment vertical="center" wrapText="1"/>
    </xf>
    <xf numFmtId="9" fontId="22" fillId="0" borderId="9" xfId="3" applyNumberFormat="1" applyFont="1" applyFill="1" applyBorder="1" applyAlignment="1">
      <alignment horizontal="center" vertical="center" textRotation="90" wrapText="1"/>
    </xf>
    <xf numFmtId="165" fontId="26" fillId="0" borderId="36" xfId="1" applyNumberFormat="1" applyFont="1" applyBorder="1" applyAlignment="1" applyProtection="1">
      <alignment horizontal="center" vertical="center" wrapText="1"/>
    </xf>
    <xf numFmtId="9" fontId="22" fillId="0" borderId="4" xfId="3" applyNumberFormat="1" applyFont="1" applyFill="1" applyBorder="1" applyAlignment="1">
      <alignment vertical="center" textRotation="90" wrapText="1"/>
    </xf>
    <xf numFmtId="0" fontId="12" fillId="0" borderId="8" xfId="0" applyFont="1" applyFill="1" applyBorder="1" applyAlignment="1">
      <alignment horizontal="center" vertical="center" wrapText="1"/>
    </xf>
    <xf numFmtId="49" fontId="12" fillId="0" borderId="4" xfId="3" applyNumberFormat="1" applyFont="1" applyFill="1" applyBorder="1" applyAlignment="1">
      <alignment horizontal="center" vertical="center" wrapText="1"/>
    </xf>
    <xf numFmtId="49" fontId="12" fillId="0" borderId="10" xfId="3" applyNumberFormat="1" applyFont="1" applyFill="1" applyBorder="1" applyAlignment="1">
      <alignment horizontal="center" vertical="center" wrapText="1"/>
    </xf>
    <xf numFmtId="49" fontId="12" fillId="0" borderId="8" xfId="3" applyNumberFormat="1" applyFont="1" applyFill="1" applyBorder="1" applyAlignment="1">
      <alignment horizontal="center" vertical="center" wrapText="1"/>
    </xf>
    <xf numFmtId="0" fontId="12" fillId="0" borderId="8" xfId="0" applyFont="1" applyFill="1" applyBorder="1" applyAlignment="1">
      <alignment horizontal="center" vertical="center"/>
    </xf>
    <xf numFmtId="0" fontId="23" fillId="0" borderId="4" xfId="0" applyFont="1" applyFill="1" applyBorder="1" applyAlignment="1">
      <alignment horizontal="justify" vertical="center" wrapText="1"/>
    </xf>
    <xf numFmtId="0" fontId="23" fillId="0" borderId="10" xfId="0" applyFont="1" applyFill="1" applyBorder="1" applyAlignment="1">
      <alignment horizontal="justify" vertical="center" wrapText="1"/>
    </xf>
    <xf numFmtId="0" fontId="23" fillId="0" borderId="8" xfId="0" applyFont="1" applyFill="1" applyBorder="1" applyAlignment="1">
      <alignment horizontal="justify" vertical="center" wrapText="1"/>
    </xf>
    <xf numFmtId="0" fontId="8" fillId="6" borderId="4" xfId="0" applyFont="1" applyFill="1" applyBorder="1" applyAlignment="1">
      <alignment horizontal="center" vertical="center" wrapText="1"/>
    </xf>
    <xf numFmtId="0" fontId="17" fillId="6" borderId="5" xfId="0" applyFont="1" applyFill="1" applyBorder="1" applyAlignment="1">
      <alignment horizontal="center" vertical="center" wrapText="1"/>
    </xf>
    <xf numFmtId="49" fontId="22" fillId="0" borderId="4" xfId="3" applyNumberFormat="1" applyFont="1" applyFill="1" applyBorder="1" applyAlignment="1">
      <alignment horizontal="center" vertical="center" wrapText="1"/>
    </xf>
    <xf numFmtId="49" fontId="22" fillId="0" borderId="8" xfId="3" applyNumberFormat="1" applyFont="1" applyFill="1" applyBorder="1" applyAlignment="1">
      <alignment horizontal="center" vertical="center" wrapText="1"/>
    </xf>
    <xf numFmtId="9" fontId="22" fillId="0" borderId="4" xfId="0" applyNumberFormat="1" applyFont="1" applyFill="1" applyBorder="1" applyAlignment="1">
      <alignment horizontal="center" vertical="center" wrapText="1"/>
    </xf>
    <xf numFmtId="9" fontId="22" fillId="0" borderId="8" xfId="0" applyNumberFormat="1" applyFont="1" applyFill="1" applyBorder="1" applyAlignment="1">
      <alignment horizontal="center" vertical="center" wrapText="1"/>
    </xf>
    <xf numFmtId="9" fontId="22" fillId="0" borderId="10" xfId="0" applyNumberFormat="1" applyFont="1" applyFill="1" applyBorder="1" applyAlignment="1">
      <alignment horizontal="center" vertical="center" wrapText="1"/>
    </xf>
    <xf numFmtId="9" fontId="23" fillId="0" borderId="8" xfId="0" applyNumberFormat="1" applyFont="1" applyFill="1" applyBorder="1" applyAlignment="1">
      <alignment horizontal="justify" vertical="center" wrapText="1"/>
    </xf>
    <xf numFmtId="9" fontId="23" fillId="0" borderId="8" xfId="0" applyNumberFormat="1" applyFont="1" applyFill="1" applyBorder="1" applyAlignment="1">
      <alignment horizontal="center" vertical="center" wrapText="1"/>
    </xf>
    <xf numFmtId="9" fontId="22" fillId="0" borderId="8" xfId="0" applyNumberFormat="1" applyFont="1" applyFill="1" applyBorder="1" applyAlignment="1">
      <alignment horizontal="center" vertical="center" textRotation="90" wrapText="1"/>
    </xf>
    <xf numFmtId="1" fontId="23" fillId="0" borderId="8" xfId="0" applyNumberFormat="1" applyFont="1" applyFill="1" applyBorder="1" applyAlignment="1">
      <alignment horizontal="center" vertical="center" wrapText="1"/>
    </xf>
    <xf numFmtId="9" fontId="22" fillId="2" borderId="8" xfId="0" applyNumberFormat="1" applyFont="1" applyFill="1" applyBorder="1" applyAlignment="1">
      <alignment horizontal="center" vertical="center" wrapText="1"/>
    </xf>
    <xf numFmtId="9" fontId="22" fillId="0" borderId="4" xfId="3" applyNumberFormat="1" applyFont="1" applyFill="1" applyBorder="1" applyAlignment="1">
      <alignment horizontal="center" vertical="center" textRotation="90" wrapText="1"/>
    </xf>
    <xf numFmtId="9" fontId="22" fillId="0" borderId="8" xfId="3" applyNumberFormat="1" applyFont="1" applyFill="1" applyBorder="1" applyAlignment="1">
      <alignment horizontal="center" vertical="center" textRotation="90" wrapText="1"/>
    </xf>
    <xf numFmtId="1" fontId="28" fillId="0" borderId="4" xfId="0" applyNumberFormat="1" applyFont="1" applyFill="1" applyBorder="1" applyAlignment="1">
      <alignment horizontal="justify" vertical="center" wrapText="1"/>
    </xf>
    <xf numFmtId="1" fontId="28" fillId="0" borderId="8" xfId="0" applyNumberFormat="1" applyFont="1" applyFill="1" applyBorder="1" applyAlignment="1">
      <alignment horizontal="justify" vertical="center" wrapText="1"/>
    </xf>
    <xf numFmtId="9" fontId="28" fillId="0" borderId="8" xfId="0" applyNumberFormat="1" applyFont="1" applyFill="1" applyBorder="1" applyAlignment="1">
      <alignment horizontal="justify" vertical="center" wrapText="1"/>
    </xf>
    <xf numFmtId="9" fontId="22" fillId="0" borderId="8" xfId="3" applyFont="1" applyFill="1" applyBorder="1" applyAlignment="1">
      <alignment horizontal="center" vertical="center" wrapText="1"/>
    </xf>
    <xf numFmtId="9" fontId="28" fillId="0" borderId="4" xfId="0" quotePrefix="1" applyNumberFormat="1" applyFont="1" applyFill="1" applyBorder="1" applyAlignment="1">
      <alignment horizontal="justify" vertical="center" wrapText="1"/>
    </xf>
    <xf numFmtId="9" fontId="28" fillId="0" borderId="8" xfId="0" quotePrefix="1" applyNumberFormat="1" applyFont="1" applyFill="1" applyBorder="1" applyAlignment="1">
      <alignment horizontal="justify" vertical="center" wrapText="1"/>
    </xf>
    <xf numFmtId="1" fontId="28" fillId="0" borderId="10" xfId="0" applyNumberFormat="1" applyFont="1" applyFill="1" applyBorder="1" applyAlignment="1">
      <alignment horizontal="justify" vertical="center" wrapText="1"/>
    </xf>
    <xf numFmtId="9" fontId="28" fillId="0" borderId="10" xfId="0" quotePrefix="1" applyNumberFormat="1" applyFont="1" applyFill="1" applyBorder="1" applyAlignment="1">
      <alignment horizontal="justify" vertical="center" wrapText="1"/>
    </xf>
    <xf numFmtId="9" fontId="28" fillId="0" borderId="10" xfId="0" quotePrefix="1" applyNumberFormat="1" applyFont="1" applyFill="1" applyBorder="1" applyAlignment="1">
      <alignment horizontal="center" vertical="center" wrapText="1"/>
    </xf>
    <xf numFmtId="9" fontId="28" fillId="0" borderId="8" xfId="0" quotePrefix="1" applyNumberFormat="1" applyFont="1" applyFill="1" applyBorder="1" applyAlignment="1">
      <alignment horizontal="center" vertical="center" wrapText="1"/>
    </xf>
    <xf numFmtId="9" fontId="42" fillId="0" borderId="8" xfId="0" applyNumberFormat="1" applyFont="1" applyFill="1" applyBorder="1" applyAlignment="1">
      <alignment horizontal="justify" vertical="center" wrapText="1"/>
    </xf>
    <xf numFmtId="9" fontId="44" fillId="2" borderId="8" xfId="0" applyNumberFormat="1" applyFont="1" applyFill="1" applyBorder="1" applyAlignment="1">
      <alignment horizontal="center" vertical="center" wrapText="1"/>
    </xf>
    <xf numFmtId="9" fontId="41" fillId="0" borderId="8" xfId="0" applyNumberFormat="1" applyFont="1" applyFill="1" applyBorder="1" applyAlignment="1">
      <alignment horizontal="center" vertical="center" wrapText="1"/>
    </xf>
    <xf numFmtId="9" fontId="23" fillId="0" borderId="8" xfId="1" applyNumberFormat="1" applyFont="1" applyFill="1" applyBorder="1" applyAlignment="1">
      <alignment horizontal="center" vertical="center" wrapText="1"/>
    </xf>
    <xf numFmtId="165" fontId="23" fillId="0" borderId="8" xfId="1" applyNumberFormat="1" applyFont="1" applyFill="1" applyBorder="1" applyAlignment="1">
      <alignment horizontal="center" vertical="center" wrapText="1"/>
    </xf>
    <xf numFmtId="0" fontId="6" fillId="2" borderId="0" xfId="0" applyFont="1" applyFill="1" applyBorder="1" applyAlignment="1">
      <alignment horizontal="center" vertical="center" wrapText="1"/>
    </xf>
    <xf numFmtId="0" fontId="2" fillId="2" borderId="0" xfId="0" applyFont="1" applyFill="1" applyBorder="1"/>
    <xf numFmtId="0" fontId="2" fillId="2" borderId="22" xfId="0" applyFont="1" applyFill="1" applyBorder="1"/>
    <xf numFmtId="9" fontId="23" fillId="0" borderId="4" xfId="0" applyNumberFormat="1" applyFont="1" applyFill="1" applyBorder="1" applyAlignment="1" applyProtection="1">
      <alignment vertical="center" wrapText="1"/>
      <protection locked="0"/>
    </xf>
    <xf numFmtId="9" fontId="22" fillId="0" borderId="9" xfId="0" applyNumberFormat="1" applyFont="1" applyFill="1" applyBorder="1" applyAlignment="1" applyProtection="1">
      <alignment horizontal="center" vertical="center" wrapText="1"/>
      <protection locked="0"/>
    </xf>
    <xf numFmtId="9" fontId="23" fillId="0" borderId="9" xfId="0" applyNumberFormat="1" applyFont="1" applyFill="1" applyBorder="1" applyAlignment="1" applyProtection="1">
      <alignment horizontal="justify" vertical="center" wrapText="1"/>
      <protection locked="0"/>
    </xf>
    <xf numFmtId="9" fontId="23" fillId="0" borderId="9" xfId="0" applyNumberFormat="1" applyFont="1" applyFill="1" applyBorder="1" applyAlignment="1" applyProtection="1">
      <alignment horizontal="center" vertical="center" wrapText="1"/>
      <protection locked="0"/>
    </xf>
    <xf numFmtId="9" fontId="48" fillId="0" borderId="9" xfId="0" applyNumberFormat="1" applyFont="1" applyFill="1" applyBorder="1" applyAlignment="1" applyProtection="1">
      <alignment horizontal="center" vertical="center" wrapText="1"/>
      <protection locked="0"/>
    </xf>
    <xf numFmtId="44" fontId="23" fillId="0" borderId="4" xfId="4" applyFont="1" applyFill="1" applyBorder="1" applyAlignment="1" applyProtection="1">
      <alignment vertical="center" wrapText="1"/>
      <protection locked="0"/>
    </xf>
    <xf numFmtId="44" fontId="23" fillId="0" borderId="9" xfId="4" applyNumberFormat="1" applyFont="1" applyFill="1" applyBorder="1" applyAlignment="1" applyProtection="1">
      <alignment horizontal="center" vertical="center" wrapText="1"/>
      <protection locked="0"/>
    </xf>
    <xf numFmtId="10" fontId="26" fillId="0" borderId="24" xfId="1" applyNumberFormat="1" applyFont="1" applyBorder="1" applyAlignment="1" applyProtection="1">
      <alignment horizontal="center" vertical="center" wrapText="1"/>
      <protection locked="0"/>
    </xf>
    <xf numFmtId="44" fontId="23" fillId="0" borderId="9" xfId="4" applyFont="1" applyFill="1" applyBorder="1" applyAlignment="1" applyProtection="1">
      <alignment horizontal="center" vertical="center" wrapText="1"/>
      <protection locked="0"/>
    </xf>
    <xf numFmtId="44" fontId="23" fillId="2" borderId="9" xfId="4" applyFont="1" applyFill="1" applyBorder="1" applyAlignment="1" applyProtection="1">
      <alignment horizontal="center" vertical="center" wrapText="1"/>
      <protection locked="0"/>
    </xf>
    <xf numFmtId="9" fontId="48" fillId="0" borderId="9" xfId="0" applyNumberFormat="1" applyFont="1" applyFill="1" applyBorder="1" applyAlignment="1" applyProtection="1">
      <alignment horizontal="justify" vertical="center" wrapText="1"/>
      <protection locked="0"/>
    </xf>
    <xf numFmtId="9" fontId="49" fillId="0" borderId="9" xfId="0" applyNumberFormat="1" applyFont="1" applyFill="1" applyBorder="1" applyAlignment="1" applyProtection="1">
      <alignment horizontal="center" vertical="center" wrapText="1"/>
      <protection locked="0"/>
    </xf>
    <xf numFmtId="1" fontId="23" fillId="0" borderId="9" xfId="0" applyNumberFormat="1" applyFont="1" applyFill="1" applyBorder="1" applyAlignment="1" applyProtection="1">
      <alignment horizontal="center" vertical="center" wrapText="1"/>
      <protection locked="0"/>
    </xf>
    <xf numFmtId="1" fontId="28" fillId="0" borderId="9" xfId="0" applyNumberFormat="1" applyFont="1" applyFill="1" applyBorder="1" applyAlignment="1" applyProtection="1">
      <alignment horizontal="justify" vertical="center" wrapText="1"/>
      <protection locked="0"/>
    </xf>
    <xf numFmtId="10" fontId="26" fillId="0" borderId="36" xfId="1" applyNumberFormat="1" applyFont="1" applyBorder="1" applyAlignment="1" applyProtection="1">
      <alignment horizontal="center" vertical="center" wrapText="1"/>
      <protection locked="0"/>
    </xf>
    <xf numFmtId="165" fontId="23" fillId="0" borderId="9" xfId="0" applyNumberFormat="1" applyFont="1" applyFill="1" applyBorder="1" applyAlignment="1" applyProtection="1">
      <alignment horizontal="center" vertical="center" wrapText="1"/>
      <protection locked="0"/>
    </xf>
    <xf numFmtId="9" fontId="28" fillId="0" borderId="9" xfId="0" applyNumberFormat="1" applyFont="1" applyFill="1" applyBorder="1" applyAlignment="1" applyProtection="1">
      <alignment horizontal="justify" vertical="center" wrapText="1"/>
      <protection locked="0"/>
    </xf>
    <xf numFmtId="10" fontId="23" fillId="0" borderId="9" xfId="0" applyNumberFormat="1" applyFont="1" applyFill="1" applyBorder="1" applyAlignment="1" applyProtection="1">
      <alignment horizontal="center" vertical="center" wrapText="1"/>
      <protection locked="0"/>
    </xf>
    <xf numFmtId="165" fontId="26" fillId="0" borderId="24" xfId="1" applyNumberFormat="1" applyFont="1" applyBorder="1" applyAlignment="1" applyProtection="1">
      <alignment horizontal="center" vertical="center" wrapText="1"/>
      <protection locked="0"/>
    </xf>
    <xf numFmtId="10" fontId="26" fillId="0" borderId="34" xfId="1" applyNumberFormat="1" applyFont="1" applyBorder="1" applyAlignment="1" applyProtection="1">
      <alignment horizontal="center" vertical="center" wrapText="1"/>
      <protection locked="0"/>
    </xf>
    <xf numFmtId="1" fontId="33" fillId="0" borderId="8" xfId="0" applyNumberFormat="1" applyFont="1" applyFill="1" applyBorder="1" applyAlignment="1" applyProtection="1">
      <alignment horizontal="justify" vertical="center" wrapText="1"/>
      <protection locked="0"/>
    </xf>
    <xf numFmtId="10" fontId="23" fillId="0" borderId="9" xfId="1" applyNumberFormat="1" applyFont="1" applyFill="1" applyBorder="1" applyAlignment="1" applyProtection="1">
      <alignment horizontal="center" vertical="center" wrapText="1"/>
      <protection locked="0"/>
    </xf>
    <xf numFmtId="9" fontId="23" fillId="0" borderId="9" xfId="1" applyFont="1" applyFill="1" applyBorder="1" applyAlignment="1" applyProtection="1">
      <alignment horizontal="center" vertical="center" wrapText="1"/>
      <protection locked="0"/>
    </xf>
    <xf numFmtId="165" fontId="23" fillId="0" borderId="9" xfId="1" applyNumberFormat="1" applyFont="1" applyFill="1" applyBorder="1" applyAlignment="1" applyProtection="1">
      <alignment horizontal="center" vertical="center" wrapText="1"/>
      <protection locked="0"/>
    </xf>
    <xf numFmtId="1" fontId="23" fillId="0" borderId="9" xfId="1" applyNumberFormat="1" applyFont="1" applyFill="1" applyBorder="1" applyAlignment="1" applyProtection="1">
      <alignment horizontal="center" vertical="center" wrapText="1"/>
      <protection locked="0"/>
    </xf>
    <xf numFmtId="9" fontId="28" fillId="0" borderId="8" xfId="0" applyNumberFormat="1" applyFont="1" applyFill="1" applyBorder="1" applyAlignment="1" applyProtection="1">
      <alignment horizontal="justify" vertical="center" wrapText="1"/>
      <protection locked="0"/>
    </xf>
    <xf numFmtId="165" fontId="23" fillId="0" borderId="8" xfId="1" applyNumberFormat="1" applyFont="1" applyFill="1" applyBorder="1" applyAlignment="1" applyProtection="1">
      <alignment horizontal="center" vertical="center" wrapText="1"/>
      <protection locked="0"/>
    </xf>
    <xf numFmtId="9" fontId="23" fillId="0" borderId="8" xfId="1" applyNumberFormat="1" applyFont="1" applyFill="1" applyBorder="1" applyAlignment="1" applyProtection="1">
      <alignment horizontal="center" vertical="center" wrapText="1"/>
      <protection locked="0"/>
    </xf>
    <xf numFmtId="1" fontId="28" fillId="0" borderId="9" xfId="3" applyNumberFormat="1" applyFont="1" applyFill="1" applyBorder="1" applyAlignment="1" applyProtection="1">
      <alignment horizontal="justify" vertical="center" wrapText="1"/>
      <protection locked="0"/>
    </xf>
    <xf numFmtId="2" fontId="23" fillId="0" borderId="9" xfId="0" applyNumberFormat="1" applyFont="1" applyFill="1" applyBorder="1" applyAlignment="1" applyProtection="1">
      <alignment horizontal="center" vertical="center" wrapText="1"/>
      <protection locked="0"/>
    </xf>
    <xf numFmtId="9" fontId="28" fillId="0" borderId="9" xfId="1" applyFont="1" applyFill="1" applyBorder="1" applyAlignment="1" applyProtection="1">
      <alignment horizontal="justify" vertical="center" wrapText="1"/>
      <protection locked="0"/>
    </xf>
    <xf numFmtId="1" fontId="23" fillId="0" borderId="8" xfId="1" applyNumberFormat="1" applyFont="1" applyFill="1" applyBorder="1" applyAlignment="1" applyProtection="1">
      <alignment horizontal="center" vertical="center" wrapText="1"/>
      <protection locked="0"/>
    </xf>
    <xf numFmtId="1" fontId="28" fillId="0" borderId="8" xfId="1" applyNumberFormat="1" applyFont="1" applyFill="1" applyBorder="1" applyAlignment="1" applyProtection="1">
      <alignment horizontal="justify" vertical="center" wrapText="1"/>
      <protection locked="0"/>
    </xf>
    <xf numFmtId="1" fontId="23" fillId="0" borderId="9" xfId="3" applyNumberFormat="1" applyFont="1" applyFill="1" applyBorder="1" applyAlignment="1" applyProtection="1">
      <alignment horizontal="center" vertical="center" wrapText="1"/>
      <protection locked="0"/>
    </xf>
    <xf numFmtId="10" fontId="26" fillId="0" borderId="9" xfId="1" applyNumberFormat="1" applyFont="1" applyBorder="1" applyAlignment="1" applyProtection="1">
      <alignment horizontal="center" vertical="center" wrapText="1"/>
      <protection locked="0"/>
    </xf>
    <xf numFmtId="9" fontId="22" fillId="2" borderId="9" xfId="0" applyNumberFormat="1" applyFont="1" applyFill="1" applyBorder="1" applyAlignment="1" applyProtection="1">
      <alignment horizontal="center" vertical="center" wrapText="1"/>
      <protection locked="0"/>
    </xf>
    <xf numFmtId="9" fontId="23" fillId="0" borderId="9" xfId="3" applyFont="1" applyFill="1" applyBorder="1" applyAlignment="1" applyProtection="1">
      <alignment horizontal="justify" vertical="center" wrapText="1"/>
      <protection locked="0"/>
    </xf>
    <xf numFmtId="9" fontId="22" fillId="0" borderId="9" xfId="3" applyFont="1" applyFill="1" applyBorder="1" applyAlignment="1" applyProtection="1">
      <alignment horizontal="center" vertical="center" wrapText="1"/>
      <protection locked="0"/>
    </xf>
    <xf numFmtId="9" fontId="23" fillId="0" borderId="9" xfId="3" applyFont="1" applyFill="1" applyBorder="1" applyAlignment="1" applyProtection="1">
      <alignment horizontal="center" vertical="center" wrapText="1"/>
      <protection locked="0"/>
    </xf>
    <xf numFmtId="1" fontId="28" fillId="0" borderId="8" xfId="0" quotePrefix="1" applyNumberFormat="1" applyFont="1" applyFill="1" applyBorder="1" applyAlignment="1" applyProtection="1">
      <alignment horizontal="justify" vertical="center" wrapText="1"/>
      <protection locked="0"/>
    </xf>
    <xf numFmtId="9" fontId="23" fillId="2" borderId="9" xfId="0" applyNumberFormat="1" applyFont="1" applyFill="1" applyBorder="1" applyAlignment="1" applyProtection="1">
      <alignment horizontal="justify" vertical="center" wrapText="1"/>
      <protection locked="0"/>
    </xf>
    <xf numFmtId="9" fontId="23" fillId="2" borderId="9" xfId="0" applyNumberFormat="1" applyFont="1" applyFill="1" applyBorder="1" applyAlignment="1" applyProtection="1">
      <alignment horizontal="center" vertical="center" wrapText="1"/>
      <protection locked="0"/>
    </xf>
    <xf numFmtId="10" fontId="26" fillId="2" borderId="36" xfId="1" applyNumberFormat="1" applyFont="1" applyFill="1" applyBorder="1" applyAlignment="1" applyProtection="1">
      <alignment horizontal="center" vertical="center" wrapText="1"/>
      <protection locked="0"/>
    </xf>
    <xf numFmtId="165" fontId="23" fillId="2" borderId="9" xfId="0" applyNumberFormat="1" applyFont="1" applyFill="1" applyBorder="1" applyAlignment="1" applyProtection="1">
      <alignment horizontal="center" vertical="center" wrapText="1"/>
      <protection locked="0"/>
    </xf>
    <xf numFmtId="9" fontId="28" fillId="2" borderId="9" xfId="0" applyNumberFormat="1" applyFont="1" applyFill="1" applyBorder="1" applyAlignment="1" applyProtection="1">
      <alignment horizontal="justify" vertical="center" wrapText="1"/>
      <protection locked="0"/>
    </xf>
    <xf numFmtId="9" fontId="28" fillId="2" borderId="9" xfId="0" quotePrefix="1" applyNumberFormat="1" applyFont="1" applyFill="1" applyBorder="1" applyAlignment="1">
      <alignment horizontal="center" vertical="center" wrapText="1"/>
    </xf>
    <xf numFmtId="0" fontId="0" fillId="2" borderId="0" xfId="0" applyFill="1"/>
    <xf numFmtId="0" fontId="51" fillId="8" borderId="25" xfId="0" applyFont="1" applyFill="1" applyBorder="1" applyAlignment="1">
      <alignment horizontal="center" vertical="center" wrapText="1"/>
    </xf>
    <xf numFmtId="0" fontId="51" fillId="8" borderId="25" xfId="0" applyFont="1" applyFill="1" applyBorder="1" applyAlignment="1">
      <alignment horizontal="center" vertical="center"/>
    </xf>
    <xf numFmtId="0" fontId="51" fillId="0" borderId="25" xfId="0" applyFont="1" applyBorder="1" applyAlignment="1">
      <alignment horizontal="left" vertical="center"/>
    </xf>
    <xf numFmtId="0" fontId="52" fillId="9" borderId="25" xfId="0" applyFont="1" applyFill="1" applyBorder="1" applyAlignment="1">
      <alignment horizontal="left" vertical="center"/>
    </xf>
    <xf numFmtId="0" fontId="51" fillId="10" borderId="25" xfId="0" applyFont="1" applyFill="1" applyBorder="1" applyAlignment="1">
      <alignment horizontal="left" vertical="center"/>
    </xf>
    <xf numFmtId="0" fontId="51" fillId="11" borderId="25" xfId="0" applyFont="1" applyFill="1" applyBorder="1" applyAlignment="1">
      <alignment horizontal="left" vertical="center" wrapText="1"/>
    </xf>
    <xf numFmtId="49" fontId="12" fillId="0" borderId="4" xfId="3" applyNumberFormat="1" applyFont="1" applyFill="1" applyBorder="1" applyAlignment="1">
      <alignment horizontal="center" vertical="center" wrapText="1"/>
    </xf>
    <xf numFmtId="49" fontId="12" fillId="2" borderId="4" xfId="3" applyNumberFormat="1" applyFont="1" applyFill="1" applyBorder="1" applyAlignment="1">
      <alignment horizontal="center" vertical="center" wrapText="1"/>
    </xf>
    <xf numFmtId="0" fontId="12" fillId="0" borderId="8" xfId="0" applyFont="1" applyFill="1" applyBorder="1" applyAlignment="1">
      <alignment horizontal="center" vertical="center"/>
    </xf>
    <xf numFmtId="0" fontId="23" fillId="0" borderId="4" xfId="0" applyFont="1" applyFill="1" applyBorder="1" applyAlignment="1">
      <alignment horizontal="justify" vertical="center" wrapText="1"/>
    </xf>
    <xf numFmtId="0" fontId="23" fillId="0" borderId="8" xfId="0" applyFont="1" applyFill="1" applyBorder="1" applyAlignment="1">
      <alignment horizontal="justify" vertical="center" wrapText="1"/>
    </xf>
    <xf numFmtId="0" fontId="8" fillId="6" borderId="4" xfId="0" applyFont="1" applyFill="1" applyBorder="1" applyAlignment="1">
      <alignment horizontal="center" vertical="center" wrapText="1"/>
    </xf>
    <xf numFmtId="0" fontId="17" fillId="6" borderId="5" xfId="0" applyFont="1" applyFill="1" applyBorder="1" applyAlignment="1">
      <alignment horizontal="center" vertical="center" wrapText="1"/>
    </xf>
    <xf numFmtId="49" fontId="22" fillId="0" borderId="4" xfId="3" applyNumberFormat="1" applyFont="1" applyFill="1" applyBorder="1" applyAlignment="1">
      <alignment horizontal="center" vertical="center" wrapText="1"/>
    </xf>
    <xf numFmtId="49" fontId="22" fillId="0" borderId="8" xfId="3" applyNumberFormat="1" applyFont="1" applyFill="1" applyBorder="1" applyAlignment="1">
      <alignment horizontal="center" vertical="center" wrapText="1"/>
    </xf>
    <xf numFmtId="9" fontId="22" fillId="0" borderId="4" xfId="0" applyNumberFormat="1" applyFont="1" applyFill="1" applyBorder="1" applyAlignment="1">
      <alignment horizontal="center" vertical="center" wrapText="1"/>
    </xf>
    <xf numFmtId="9" fontId="22" fillId="0" borderId="8" xfId="0" applyNumberFormat="1" applyFont="1" applyFill="1" applyBorder="1" applyAlignment="1">
      <alignment horizontal="center" vertical="center" textRotation="90" wrapText="1"/>
    </xf>
    <xf numFmtId="9" fontId="22" fillId="2" borderId="4" xfId="0" applyNumberFormat="1" applyFont="1" applyFill="1" applyBorder="1" applyAlignment="1">
      <alignment horizontal="center" vertical="center" wrapText="1"/>
    </xf>
    <xf numFmtId="0" fontId="23" fillId="2" borderId="4" xfId="0" applyFont="1" applyFill="1" applyBorder="1" applyAlignment="1">
      <alignment horizontal="justify" vertical="center" wrapText="1"/>
    </xf>
    <xf numFmtId="49" fontId="22" fillId="2" borderId="4" xfId="3" applyNumberFormat="1" applyFont="1" applyFill="1" applyBorder="1" applyAlignment="1">
      <alignment horizontal="center" vertical="center" wrapText="1"/>
    </xf>
    <xf numFmtId="9" fontId="22" fillId="0" borderId="8" xfId="3" applyFont="1" applyFill="1" applyBorder="1" applyAlignment="1">
      <alignment horizontal="center" vertical="center" wrapText="1"/>
    </xf>
    <xf numFmtId="9" fontId="28" fillId="0" borderId="8" xfId="0" quotePrefix="1" applyNumberFormat="1" applyFont="1" applyFill="1" applyBorder="1" applyAlignment="1">
      <alignment horizontal="center" vertical="center" wrapText="1"/>
    </xf>
    <xf numFmtId="9" fontId="23" fillId="0" borderId="8" xfId="0" applyNumberFormat="1" applyFont="1" applyFill="1" applyBorder="1" applyAlignment="1" applyProtection="1">
      <alignment horizontal="justify" vertical="center" wrapText="1"/>
      <protection locked="0"/>
    </xf>
    <xf numFmtId="0" fontId="6" fillId="2" borderId="0" xfId="0" applyFont="1" applyFill="1" applyBorder="1" applyAlignment="1">
      <alignment horizontal="center" vertical="center" wrapText="1"/>
    </xf>
    <xf numFmtId="9" fontId="22" fillId="2" borderId="4" xfId="0" applyNumberFormat="1" applyFont="1" applyFill="1" applyBorder="1" applyAlignment="1" applyProtection="1">
      <alignment horizontal="center" vertical="center" wrapText="1"/>
      <protection locked="0"/>
    </xf>
    <xf numFmtId="9" fontId="22" fillId="2" borderId="8" xfId="0" applyNumberFormat="1" applyFont="1" applyFill="1" applyBorder="1" applyAlignment="1" applyProtection="1">
      <alignment horizontal="center" vertical="center" wrapText="1"/>
      <protection locked="0"/>
    </xf>
    <xf numFmtId="0" fontId="3" fillId="2" borderId="14" xfId="0" applyFont="1" applyFill="1" applyBorder="1" applyAlignment="1">
      <alignment horizontal="center" vertical="center" textRotation="90" wrapText="1"/>
    </xf>
    <xf numFmtId="0" fontId="3" fillId="2" borderId="20" xfId="0" applyFont="1" applyFill="1" applyBorder="1" applyAlignment="1">
      <alignment horizontal="center" vertical="center" textRotation="90" wrapText="1"/>
    </xf>
    <xf numFmtId="0" fontId="12" fillId="0" borderId="8" xfId="0" applyFont="1" applyFill="1" applyBorder="1" applyAlignment="1">
      <alignment horizontal="center" vertical="center" wrapText="1"/>
    </xf>
    <xf numFmtId="49" fontId="12" fillId="0" borderId="4" xfId="3" applyNumberFormat="1" applyFont="1" applyFill="1" applyBorder="1" applyAlignment="1">
      <alignment horizontal="center" vertical="center" wrapText="1"/>
    </xf>
    <xf numFmtId="49" fontId="12" fillId="0" borderId="8" xfId="3" applyNumberFormat="1" applyFont="1" applyFill="1" applyBorder="1" applyAlignment="1">
      <alignment horizontal="center" vertical="center" wrapText="1"/>
    </xf>
    <xf numFmtId="0" fontId="23" fillId="0" borderId="4" xfId="0" applyFont="1" applyFill="1" applyBorder="1" applyAlignment="1">
      <alignment horizontal="justify" vertical="center" wrapText="1"/>
    </xf>
    <xf numFmtId="0" fontId="23" fillId="0" borderId="8" xfId="0" applyFont="1" applyFill="1" applyBorder="1" applyAlignment="1">
      <alignment horizontal="justify" vertical="center" wrapText="1"/>
    </xf>
    <xf numFmtId="49" fontId="22" fillId="0" borderId="4" xfId="3" applyNumberFormat="1" applyFont="1" applyFill="1" applyBorder="1" applyAlignment="1">
      <alignment horizontal="center" vertical="center" wrapText="1"/>
    </xf>
    <xf numFmtId="49" fontId="22" fillId="0" borderId="8" xfId="3" applyNumberFormat="1" applyFont="1" applyFill="1" applyBorder="1" applyAlignment="1">
      <alignment horizontal="center" vertical="center" wrapText="1"/>
    </xf>
    <xf numFmtId="9" fontId="22" fillId="0" borderId="4" xfId="0" applyNumberFormat="1" applyFont="1" applyFill="1" applyBorder="1" applyAlignment="1">
      <alignment horizontal="center" vertical="center" wrapText="1"/>
    </xf>
    <xf numFmtId="9" fontId="22" fillId="0" borderId="8" xfId="0" applyNumberFormat="1" applyFont="1" applyFill="1" applyBorder="1" applyAlignment="1">
      <alignment horizontal="center" vertical="center" wrapText="1"/>
    </xf>
    <xf numFmtId="9" fontId="22" fillId="0" borderId="8" xfId="3" applyNumberFormat="1" applyFont="1" applyFill="1" applyBorder="1" applyAlignment="1">
      <alignment horizontal="center" vertical="center" textRotation="90" wrapText="1"/>
    </xf>
    <xf numFmtId="9" fontId="28" fillId="0" borderId="8" xfId="0" applyNumberFormat="1" applyFont="1" applyFill="1" applyBorder="1" applyAlignment="1">
      <alignment horizontal="justify" vertical="center" wrapText="1"/>
    </xf>
    <xf numFmtId="9" fontId="28" fillId="0" borderId="4" xfId="0" quotePrefix="1" applyNumberFormat="1" applyFont="1" applyFill="1" applyBorder="1" applyAlignment="1">
      <alignment horizontal="justify" vertical="center" wrapText="1"/>
    </xf>
    <xf numFmtId="9" fontId="28" fillId="0" borderId="8" xfId="0" quotePrefix="1" applyNumberFormat="1" applyFont="1" applyFill="1" applyBorder="1" applyAlignment="1">
      <alignment horizontal="justify" vertical="center" wrapText="1"/>
    </xf>
    <xf numFmtId="9" fontId="28" fillId="0" borderId="4" xfId="0" quotePrefix="1" applyNumberFormat="1" applyFont="1" applyFill="1" applyBorder="1" applyAlignment="1">
      <alignment horizontal="center" vertical="center" wrapText="1"/>
    </xf>
    <xf numFmtId="9" fontId="28" fillId="0" borderId="10" xfId="0" quotePrefix="1" applyNumberFormat="1" applyFont="1" applyFill="1" applyBorder="1" applyAlignment="1">
      <alignment horizontal="center" vertical="center" wrapText="1"/>
    </xf>
    <xf numFmtId="9" fontId="28" fillId="0" borderId="8" xfId="0" quotePrefix="1" applyNumberFormat="1" applyFont="1" applyFill="1" applyBorder="1" applyAlignment="1">
      <alignment horizontal="center" vertical="center" wrapText="1"/>
    </xf>
    <xf numFmtId="10" fontId="23" fillId="0" borderId="8" xfId="0" applyNumberFormat="1" applyFont="1" applyFill="1" applyBorder="1" applyAlignment="1" applyProtection="1">
      <alignment horizontal="center" vertical="center" wrapText="1"/>
      <protection locked="0"/>
    </xf>
    <xf numFmtId="9" fontId="23" fillId="0" borderId="8" xfId="0" applyNumberFormat="1" applyFont="1" applyFill="1" applyBorder="1" applyAlignment="1" applyProtection="1">
      <alignment horizontal="center" vertical="center" wrapText="1"/>
      <protection locked="0"/>
    </xf>
    <xf numFmtId="10" fontId="23" fillId="0" borderId="8" xfId="1" applyNumberFormat="1" applyFont="1" applyFill="1" applyBorder="1" applyAlignment="1" applyProtection="1">
      <alignment horizontal="center" vertical="center" wrapText="1"/>
      <protection locked="0"/>
    </xf>
    <xf numFmtId="9" fontId="28" fillId="0" borderId="8" xfId="1" applyFont="1" applyFill="1" applyBorder="1" applyAlignment="1" applyProtection="1">
      <alignment horizontal="justify" vertical="center" wrapText="1"/>
      <protection locked="0"/>
    </xf>
    <xf numFmtId="9" fontId="23" fillId="0" borderId="8" xfId="0" applyNumberFormat="1" applyFont="1" applyFill="1" applyBorder="1" applyAlignment="1" applyProtection="1">
      <alignment horizontal="justify" vertical="center" wrapText="1"/>
      <protection locked="0"/>
    </xf>
    <xf numFmtId="9" fontId="22" fillId="0" borderId="4" xfId="0" applyNumberFormat="1" applyFont="1" applyFill="1" applyBorder="1" applyAlignment="1" applyProtection="1">
      <alignment horizontal="center" vertical="center" wrapText="1"/>
      <protection locked="0"/>
    </xf>
    <xf numFmtId="9" fontId="22" fillId="0" borderId="8" xfId="0" applyNumberFormat="1" applyFont="1" applyFill="1" applyBorder="1" applyAlignment="1" applyProtection="1">
      <alignment horizontal="center" vertical="center" wrapText="1"/>
      <protection locked="0"/>
    </xf>
    <xf numFmtId="1" fontId="23" fillId="0" borderId="8" xfId="0" applyNumberFormat="1" applyFont="1" applyFill="1" applyBorder="1" applyAlignment="1" applyProtection="1">
      <alignment horizontal="center" vertical="center" wrapText="1"/>
      <protection locked="0"/>
    </xf>
    <xf numFmtId="1" fontId="28" fillId="0" borderId="4" xfId="0" applyNumberFormat="1" applyFont="1" applyFill="1" applyBorder="1" applyAlignment="1" applyProtection="1">
      <alignment horizontal="justify" vertical="center" wrapText="1"/>
      <protection locked="0"/>
    </xf>
    <xf numFmtId="1" fontId="28" fillId="0" borderId="8" xfId="0" applyNumberFormat="1" applyFont="1" applyFill="1" applyBorder="1" applyAlignment="1" applyProtection="1">
      <alignment horizontal="justify" vertical="center" wrapText="1"/>
      <protection locked="0"/>
    </xf>
    <xf numFmtId="9" fontId="22" fillId="2" borderId="8" xfId="0" applyNumberFormat="1" applyFont="1" applyFill="1" applyBorder="1" applyAlignment="1" applyProtection="1">
      <alignment horizontal="center" vertical="center" wrapText="1"/>
      <protection locked="0"/>
    </xf>
    <xf numFmtId="9" fontId="22" fillId="0" borderId="8" xfId="0" applyNumberFormat="1" applyFont="1" applyFill="1" applyBorder="1" applyAlignment="1">
      <alignment vertical="center" wrapText="1"/>
    </xf>
    <xf numFmtId="9" fontId="22" fillId="0" borderId="10" xfId="0" applyNumberFormat="1" applyFont="1" applyFill="1" applyBorder="1" applyAlignment="1">
      <alignment vertical="center" wrapText="1"/>
    </xf>
    <xf numFmtId="9" fontId="22" fillId="2" borderId="9" xfId="0" applyNumberFormat="1" applyFont="1" applyFill="1" applyBorder="1" applyAlignment="1" applyProtection="1">
      <alignment vertical="center" wrapText="1"/>
      <protection locked="0"/>
    </xf>
    <xf numFmtId="9" fontId="22" fillId="2" borderId="9" xfId="3" applyFont="1" applyFill="1" applyBorder="1" applyAlignment="1" applyProtection="1">
      <alignment horizontal="center" vertical="center" wrapText="1"/>
      <protection locked="0"/>
    </xf>
    <xf numFmtId="0" fontId="18" fillId="2" borderId="4" xfId="0" applyFont="1" applyFill="1" applyBorder="1" applyAlignment="1">
      <alignment vertical="center" textRotation="90" wrapText="1"/>
    </xf>
    <xf numFmtId="0" fontId="18" fillId="2" borderId="4" xfId="0" applyFont="1" applyFill="1" applyBorder="1" applyAlignment="1">
      <alignment vertical="center" textRotation="90"/>
    </xf>
    <xf numFmtId="0" fontId="13" fillId="2" borderId="17" xfId="0" applyFont="1" applyFill="1" applyBorder="1" applyAlignment="1">
      <alignment vertical="center" wrapText="1"/>
    </xf>
    <xf numFmtId="165" fontId="23" fillId="0" borderId="8" xfId="0" applyNumberFormat="1" applyFont="1" applyFill="1" applyBorder="1" applyAlignment="1" applyProtection="1">
      <alignment horizontal="center" vertical="center" wrapText="1"/>
      <protection locked="0"/>
    </xf>
    <xf numFmtId="49" fontId="28" fillId="0" borderId="8" xfId="1" applyNumberFormat="1" applyFont="1" applyFill="1" applyBorder="1" applyAlignment="1">
      <alignment horizontal="justify" vertical="center" wrapText="1"/>
    </xf>
    <xf numFmtId="9" fontId="26" fillId="0" borderId="24" xfId="1" applyNumberFormat="1" applyFont="1" applyBorder="1" applyAlignment="1" applyProtection="1">
      <alignment horizontal="center" vertical="center" wrapText="1"/>
      <protection locked="0"/>
    </xf>
    <xf numFmtId="9" fontId="48" fillId="0" borderId="9" xfId="0" applyNumberFormat="1" applyFont="1" applyFill="1" applyBorder="1" applyAlignment="1" applyProtection="1">
      <alignment horizontal="center" vertical="center" wrapText="1"/>
    </xf>
    <xf numFmtId="9" fontId="48" fillId="0" borderId="9" xfId="0" applyNumberFormat="1" applyFont="1" applyFill="1" applyBorder="1" applyAlignment="1" applyProtection="1">
      <alignment horizontal="justify" vertical="center" wrapText="1"/>
    </xf>
    <xf numFmtId="9" fontId="49" fillId="0" borderId="9" xfId="0" applyNumberFormat="1" applyFont="1" applyFill="1" applyBorder="1" applyAlignment="1" applyProtection="1">
      <alignment horizontal="center" vertical="center" wrapText="1"/>
    </xf>
    <xf numFmtId="10" fontId="26" fillId="2" borderId="36" xfId="1" applyNumberFormat="1" applyFont="1" applyFill="1" applyBorder="1" applyAlignment="1" applyProtection="1">
      <alignment horizontal="center" vertical="center" wrapText="1"/>
    </xf>
    <xf numFmtId="3" fontId="2" fillId="2" borderId="0" xfId="0" applyNumberFormat="1" applyFont="1" applyFill="1" applyProtection="1"/>
    <xf numFmtId="10" fontId="2" fillId="0" borderId="0" xfId="1" applyNumberFormat="1" applyFont="1" applyProtection="1"/>
    <xf numFmtId="2" fontId="23" fillId="0" borderId="9" xfId="0" applyNumberFormat="1" applyFont="1" applyFill="1" applyBorder="1" applyAlignment="1" applyProtection="1">
      <alignment horizontal="center" vertical="center" wrapText="1"/>
    </xf>
    <xf numFmtId="1" fontId="23" fillId="0" borderId="8" xfId="1" applyNumberFormat="1" applyFont="1" applyFill="1" applyBorder="1" applyAlignment="1" applyProtection="1">
      <alignment horizontal="center" vertical="center" wrapText="1"/>
    </xf>
    <xf numFmtId="1" fontId="14" fillId="0" borderId="0" xfId="0" applyNumberFormat="1" applyFont="1" applyFill="1" applyBorder="1" applyAlignment="1" applyProtection="1">
      <alignment horizontal="center" vertical="center" wrapText="1"/>
    </xf>
    <xf numFmtId="0" fontId="4" fillId="2" borderId="0" xfId="0" applyFont="1" applyFill="1" applyAlignment="1" applyProtection="1">
      <alignment vertical="center" wrapText="1"/>
    </xf>
    <xf numFmtId="0" fontId="5" fillId="2" borderId="0" xfId="0" applyFont="1" applyFill="1" applyBorder="1" applyAlignment="1" applyProtection="1">
      <alignment vertical="center" wrapText="1"/>
    </xf>
    <xf numFmtId="0" fontId="12" fillId="0" borderId="8" xfId="0" applyFont="1" applyFill="1" applyBorder="1" applyAlignment="1" applyProtection="1">
      <alignment horizontal="center" vertical="center" wrapText="1"/>
    </xf>
    <xf numFmtId="0" fontId="23" fillId="0" borderId="4" xfId="0" applyFont="1" applyFill="1" applyBorder="1" applyAlignment="1" applyProtection="1">
      <alignment horizontal="justify" vertical="center" wrapText="1"/>
    </xf>
    <xf numFmtId="0" fontId="23" fillId="0" borderId="10" xfId="0" applyFont="1" applyFill="1" applyBorder="1" applyAlignment="1" applyProtection="1">
      <alignment horizontal="justify" vertical="center" wrapText="1"/>
    </xf>
    <xf numFmtId="0" fontId="23" fillId="0" borderId="8" xfId="0" applyFont="1" applyFill="1" applyBorder="1" applyAlignment="1" applyProtection="1">
      <alignment horizontal="justify" vertical="center" wrapText="1"/>
    </xf>
    <xf numFmtId="9" fontId="22" fillId="0" borderId="8" xfId="0" applyNumberFormat="1" applyFont="1" applyFill="1" applyBorder="1" applyAlignment="1" applyProtection="1">
      <alignment horizontal="center" vertical="center" wrapText="1"/>
    </xf>
    <xf numFmtId="0" fontId="12" fillId="0" borderId="8" xfId="0" applyFont="1" applyFill="1" applyBorder="1" applyAlignment="1" applyProtection="1">
      <alignment horizontal="center" vertical="center"/>
    </xf>
    <xf numFmtId="9" fontId="23" fillId="0" borderId="8" xfId="0" applyNumberFormat="1" applyFont="1" applyFill="1" applyBorder="1" applyAlignment="1" applyProtection="1">
      <alignment horizontal="justify" vertical="center" wrapText="1"/>
    </xf>
    <xf numFmtId="9" fontId="22" fillId="2" borderId="4" xfId="0" applyNumberFormat="1" applyFont="1" applyFill="1" applyBorder="1" applyAlignment="1" applyProtection="1">
      <alignment horizontal="center" vertical="center" wrapText="1"/>
    </xf>
    <xf numFmtId="9" fontId="22" fillId="2" borderId="8"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justify" vertical="center" wrapText="1"/>
    </xf>
    <xf numFmtId="9" fontId="23" fillId="0" borderId="8" xfId="0" applyNumberFormat="1" applyFont="1" applyFill="1" applyBorder="1" applyAlignment="1" applyProtection="1">
      <alignment horizontal="center" vertical="center" wrapText="1"/>
    </xf>
    <xf numFmtId="9" fontId="22" fillId="0" borderId="10" xfId="0" applyNumberFormat="1" applyFont="1" applyFill="1" applyBorder="1" applyAlignment="1" applyProtection="1">
      <alignment horizontal="center" vertical="center" wrapText="1"/>
    </xf>
    <xf numFmtId="1" fontId="23" fillId="0" borderId="8" xfId="0" applyNumberFormat="1" applyFont="1" applyFill="1" applyBorder="1" applyAlignment="1" applyProtection="1">
      <alignment horizontal="center" vertical="center" wrapText="1"/>
    </xf>
    <xf numFmtId="10" fontId="23" fillId="0" borderId="8" xfId="1" applyNumberFormat="1" applyFont="1" applyFill="1" applyBorder="1" applyAlignment="1" applyProtection="1">
      <alignment horizontal="center" vertical="center" wrapText="1"/>
    </xf>
    <xf numFmtId="9" fontId="26" fillId="2" borderId="37" xfId="0" applyNumberFormat="1" applyFont="1" applyFill="1" applyBorder="1" applyAlignment="1" applyProtection="1">
      <alignment horizontal="center" vertical="center" wrapText="1"/>
    </xf>
    <xf numFmtId="0" fontId="5" fillId="2" borderId="38" xfId="0" applyFont="1" applyFill="1" applyBorder="1" applyAlignment="1" applyProtection="1">
      <alignment vertical="center" wrapText="1"/>
    </xf>
    <xf numFmtId="0" fontId="5" fillId="2" borderId="20" xfId="0" applyFont="1" applyFill="1" applyBorder="1" applyAlignment="1" applyProtection="1">
      <alignment vertical="center" textRotation="90" wrapText="1"/>
    </xf>
    <xf numFmtId="9" fontId="26" fillId="2" borderId="8" xfId="0" applyNumberFormat="1" applyFont="1" applyFill="1" applyBorder="1" applyAlignment="1" applyProtection="1">
      <alignment horizontal="center" vertical="center" wrapText="1"/>
    </xf>
    <xf numFmtId="165" fontId="23" fillId="0" borderId="8" xfId="0" applyNumberFormat="1" applyFont="1" applyFill="1" applyBorder="1" applyAlignment="1" applyProtection="1">
      <alignment horizontal="center" vertical="center" wrapText="1"/>
    </xf>
    <xf numFmtId="0" fontId="4" fillId="2" borderId="0" xfId="0" applyFont="1" applyFill="1" applyAlignment="1" applyProtection="1">
      <alignment horizontal="center" vertical="center" wrapText="1"/>
    </xf>
    <xf numFmtId="0" fontId="5" fillId="2" borderId="0" xfId="0" applyFont="1" applyFill="1" applyBorder="1" applyAlignment="1" applyProtection="1">
      <alignment horizontal="center" vertical="center" wrapText="1"/>
    </xf>
    <xf numFmtId="0" fontId="5" fillId="6" borderId="1" xfId="0" applyFont="1" applyFill="1" applyBorder="1" applyAlignment="1" applyProtection="1">
      <alignment horizontal="center" vertical="center"/>
    </xf>
    <xf numFmtId="0" fontId="5" fillId="6" borderId="2" xfId="0" applyFont="1" applyFill="1" applyBorder="1" applyAlignment="1" applyProtection="1">
      <alignment horizontal="center" vertical="center"/>
    </xf>
    <xf numFmtId="0" fontId="5" fillId="6" borderId="3" xfId="0" applyFont="1" applyFill="1" applyBorder="1" applyAlignment="1" applyProtection="1">
      <alignment horizontal="center" vertical="center"/>
    </xf>
    <xf numFmtId="0" fontId="5" fillId="6" borderId="1" xfId="0" applyFont="1" applyFill="1" applyBorder="1" applyAlignment="1" applyProtection="1">
      <alignment horizontal="center" vertical="center" wrapText="1"/>
    </xf>
    <xf numFmtId="0" fontId="5" fillId="6" borderId="2" xfId="0" applyFont="1" applyFill="1" applyBorder="1" applyAlignment="1" applyProtection="1">
      <alignment horizontal="center" vertical="center" wrapText="1"/>
    </xf>
    <xf numFmtId="0" fontId="5" fillId="6" borderId="3" xfId="0" applyFont="1" applyFill="1" applyBorder="1" applyAlignment="1" applyProtection="1">
      <alignment horizontal="center" vertical="center" wrapText="1"/>
    </xf>
    <xf numFmtId="0" fontId="7" fillId="6" borderId="4" xfId="0" applyFont="1" applyFill="1" applyBorder="1" applyAlignment="1" applyProtection="1">
      <alignment horizontal="center" vertical="center" wrapText="1"/>
    </xf>
    <xf numFmtId="0" fontId="7" fillId="6" borderId="8" xfId="0" applyFont="1" applyFill="1" applyBorder="1" applyAlignment="1" applyProtection="1">
      <alignment horizontal="center" vertical="center" wrapText="1"/>
    </xf>
    <xf numFmtId="0" fontId="7" fillId="6" borderId="5" xfId="0" applyFont="1" applyFill="1" applyBorder="1" applyAlignment="1" applyProtection="1">
      <alignment horizontal="center" vertical="center" wrapText="1"/>
    </xf>
    <xf numFmtId="0" fontId="7" fillId="6" borderId="6" xfId="0" applyFont="1" applyFill="1" applyBorder="1" applyAlignment="1" applyProtection="1">
      <alignment horizontal="center" vertical="center" wrapText="1"/>
    </xf>
    <xf numFmtId="0" fontId="29" fillId="6" borderId="5" xfId="0" applyFont="1" applyFill="1" applyBorder="1" applyAlignment="1" applyProtection="1">
      <alignment horizontal="center" vertical="center" wrapText="1"/>
    </xf>
    <xf numFmtId="0" fontId="29" fillId="6" borderId="7" xfId="0" applyFont="1" applyFill="1" applyBorder="1" applyAlignment="1" applyProtection="1">
      <alignment horizontal="center" vertical="center" wrapText="1"/>
    </xf>
    <xf numFmtId="0" fontId="29" fillId="6" borderId="6" xfId="0" applyFont="1" applyFill="1" applyBorder="1" applyAlignment="1" applyProtection="1">
      <alignment horizontal="center" vertical="center" wrapText="1"/>
    </xf>
    <xf numFmtId="0" fontId="18" fillId="2" borderId="4" xfId="0" applyFont="1" applyFill="1" applyBorder="1" applyAlignment="1" applyProtection="1">
      <alignment horizontal="center" vertical="center" textRotation="90"/>
    </xf>
    <xf numFmtId="0" fontId="18" fillId="2" borderId="10" xfId="0" applyFont="1" applyFill="1" applyBorder="1" applyAlignment="1" applyProtection="1">
      <alignment horizontal="center" vertical="center" textRotation="90"/>
    </xf>
    <xf numFmtId="0" fontId="18" fillId="2" borderId="8" xfId="0" applyFont="1" applyFill="1" applyBorder="1" applyAlignment="1" applyProtection="1">
      <alignment horizontal="center" vertical="center" textRotation="90"/>
    </xf>
    <xf numFmtId="0" fontId="18" fillId="2" borderId="4" xfId="0" applyFont="1" applyFill="1" applyBorder="1" applyAlignment="1" applyProtection="1">
      <alignment horizontal="center" vertical="center" textRotation="90" wrapText="1"/>
    </xf>
    <xf numFmtId="0" fontId="18" fillId="2" borderId="10" xfId="0" applyFont="1" applyFill="1" applyBorder="1" applyAlignment="1" applyProtection="1">
      <alignment horizontal="center" vertical="center" textRotation="90" wrapText="1"/>
    </xf>
    <xf numFmtId="0" fontId="18" fillId="2" borderId="8" xfId="0" applyFont="1" applyFill="1" applyBorder="1" applyAlignment="1" applyProtection="1">
      <alignment horizontal="center" vertical="center" textRotation="90" wrapText="1"/>
    </xf>
    <xf numFmtId="37" fontId="11" fillId="2" borderId="13" xfId="2" applyNumberFormat="1" applyFont="1" applyFill="1" applyBorder="1" applyAlignment="1" applyProtection="1">
      <alignment horizontal="center" vertical="center" wrapText="1"/>
    </xf>
    <xf numFmtId="37" fontId="11" fillId="2" borderId="15" xfId="2" applyNumberFormat="1" applyFont="1" applyFill="1" applyBorder="1" applyAlignment="1" applyProtection="1">
      <alignment horizontal="center" vertical="center" wrapText="1"/>
    </xf>
    <xf numFmtId="10" fontId="3" fillId="2" borderId="14" xfId="0" applyNumberFormat="1" applyFont="1" applyFill="1" applyBorder="1" applyAlignment="1" applyProtection="1">
      <alignment horizontal="center" vertical="center" textRotation="90" wrapText="1"/>
    </xf>
    <xf numFmtId="10" fontId="3" fillId="2" borderId="16" xfId="0" applyNumberFormat="1" applyFont="1" applyFill="1" applyBorder="1" applyAlignment="1" applyProtection="1">
      <alignment horizontal="center" vertical="center" textRotation="90" wrapText="1"/>
    </xf>
    <xf numFmtId="0" fontId="12" fillId="0" borderId="4" xfId="0" applyFont="1" applyFill="1" applyBorder="1" applyAlignment="1" applyProtection="1">
      <alignment horizontal="center" vertical="center" wrapText="1"/>
    </xf>
    <xf numFmtId="0" fontId="12" fillId="0" borderId="10" xfId="0" applyFont="1" applyFill="1" applyBorder="1" applyAlignment="1" applyProtection="1">
      <alignment horizontal="center" vertical="center" wrapText="1"/>
    </xf>
    <xf numFmtId="0" fontId="12" fillId="0" borderId="8" xfId="0" applyFont="1" applyFill="1" applyBorder="1" applyAlignment="1" applyProtection="1">
      <alignment horizontal="center" vertical="center" wrapText="1"/>
    </xf>
    <xf numFmtId="0" fontId="23" fillId="0" borderId="4" xfId="0" applyFont="1" applyFill="1" applyBorder="1" applyAlignment="1" applyProtection="1">
      <alignment horizontal="justify" vertical="center" wrapText="1"/>
    </xf>
    <xf numFmtId="0" fontId="23" fillId="0" borderId="10" xfId="0" applyFont="1" applyFill="1" applyBorder="1" applyAlignment="1" applyProtection="1">
      <alignment horizontal="justify" vertical="center" wrapText="1"/>
    </xf>
    <xf numFmtId="0" fontId="23" fillId="0" borderId="8" xfId="0" applyFont="1" applyFill="1" applyBorder="1" applyAlignment="1" applyProtection="1">
      <alignment horizontal="justify" vertical="center" wrapText="1"/>
    </xf>
    <xf numFmtId="9" fontId="22" fillId="0" borderId="4" xfId="3" applyFont="1" applyFill="1" applyBorder="1" applyAlignment="1" applyProtection="1">
      <alignment horizontal="center" vertical="center" textRotation="90" wrapText="1"/>
    </xf>
    <xf numFmtId="9" fontId="22" fillId="0" borderId="10" xfId="3" applyFont="1" applyFill="1" applyBorder="1" applyAlignment="1" applyProtection="1">
      <alignment horizontal="center" vertical="center" textRotation="90" wrapText="1"/>
    </xf>
    <xf numFmtId="9" fontId="22" fillId="0" borderId="8" xfId="3" applyFont="1" applyFill="1" applyBorder="1" applyAlignment="1" applyProtection="1">
      <alignment horizontal="center" vertical="center" textRotation="90" wrapText="1"/>
    </xf>
    <xf numFmtId="9" fontId="22" fillId="0" borderId="4" xfId="0" applyNumberFormat="1" applyFont="1" applyFill="1" applyBorder="1" applyAlignment="1" applyProtection="1">
      <alignment horizontal="center" vertical="center" wrapText="1"/>
    </xf>
    <xf numFmtId="9" fontId="22" fillId="0" borderId="8" xfId="0" applyNumberFormat="1" applyFont="1" applyFill="1" applyBorder="1" applyAlignment="1" applyProtection="1">
      <alignment horizontal="center" vertical="center" wrapText="1"/>
    </xf>
    <xf numFmtId="0" fontId="17" fillId="6" borderId="1" xfId="0" applyFont="1" applyFill="1" applyBorder="1" applyAlignment="1" applyProtection="1">
      <alignment horizontal="center" vertical="center" wrapText="1"/>
    </xf>
    <xf numFmtId="0" fontId="17" fillId="6" borderId="3" xfId="0" applyFont="1" applyFill="1" applyBorder="1" applyAlignment="1" applyProtection="1">
      <alignment horizontal="center" vertical="center" wrapText="1"/>
    </xf>
    <xf numFmtId="0" fontId="13" fillId="2" borderId="17" xfId="0" applyFont="1" applyFill="1" applyBorder="1" applyAlignment="1" applyProtection="1">
      <alignment horizontal="center" vertical="center" wrapText="1"/>
    </xf>
    <xf numFmtId="0" fontId="13" fillId="2" borderId="18" xfId="0" applyFont="1" applyFill="1" applyBorder="1" applyAlignment="1" applyProtection="1">
      <alignment horizontal="center" vertical="center" wrapText="1"/>
    </xf>
    <xf numFmtId="0" fontId="13" fillId="2" borderId="19" xfId="0" applyFont="1" applyFill="1" applyBorder="1" applyAlignment="1" applyProtection="1">
      <alignment horizontal="center" vertical="center" wrapText="1"/>
    </xf>
    <xf numFmtId="0" fontId="3" fillId="2" borderId="14" xfId="0" applyFont="1" applyFill="1" applyBorder="1" applyAlignment="1" applyProtection="1">
      <alignment horizontal="center" vertical="center" textRotation="90" wrapText="1"/>
    </xf>
    <xf numFmtId="0" fontId="3" fillId="2" borderId="16" xfId="0" applyFont="1" applyFill="1" applyBorder="1" applyAlignment="1" applyProtection="1">
      <alignment horizontal="center" vertical="center" textRotation="90" wrapText="1"/>
    </xf>
    <xf numFmtId="0" fontId="3" fillId="2" borderId="20" xfId="0" applyFont="1" applyFill="1" applyBorder="1" applyAlignment="1" applyProtection="1">
      <alignment horizontal="center" vertical="center" textRotation="90" wrapText="1"/>
    </xf>
    <xf numFmtId="0" fontId="12" fillId="0" borderId="4" xfId="0" applyFont="1" applyFill="1" applyBorder="1" applyAlignment="1" applyProtection="1">
      <alignment horizontal="center" vertical="center"/>
    </xf>
    <xf numFmtId="0" fontId="12" fillId="0" borderId="8" xfId="0" applyFont="1" applyFill="1" applyBorder="1" applyAlignment="1" applyProtection="1">
      <alignment horizontal="center" vertical="center"/>
    </xf>
    <xf numFmtId="9" fontId="23" fillId="0" borderId="10" xfId="0" applyNumberFormat="1" applyFont="1" applyFill="1" applyBorder="1" applyAlignment="1" applyProtection="1">
      <alignment horizontal="justify" vertical="center" wrapText="1"/>
    </xf>
    <xf numFmtId="9" fontId="23" fillId="0" borderId="8" xfId="0" applyNumberFormat="1" applyFont="1" applyFill="1" applyBorder="1" applyAlignment="1" applyProtection="1">
      <alignment horizontal="justify" vertical="center" wrapText="1"/>
    </xf>
    <xf numFmtId="9" fontId="22" fillId="2" borderId="4" xfId="0" applyNumberFormat="1" applyFont="1" applyFill="1" applyBorder="1" applyAlignment="1" applyProtection="1">
      <alignment horizontal="center" vertical="center" wrapText="1"/>
    </xf>
    <xf numFmtId="9" fontId="22" fillId="2" borderId="10" xfId="0" applyNumberFormat="1" applyFont="1" applyFill="1" applyBorder="1" applyAlignment="1" applyProtection="1">
      <alignment horizontal="center" vertical="center" wrapText="1"/>
    </xf>
    <xf numFmtId="9" fontId="22" fillId="2" borderId="8"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justify" vertical="center" wrapText="1"/>
    </xf>
    <xf numFmtId="0" fontId="23" fillId="2" borderId="8" xfId="0" applyFont="1" applyFill="1" applyBorder="1" applyAlignment="1" applyProtection="1">
      <alignment horizontal="justify" vertical="center" wrapText="1"/>
    </xf>
    <xf numFmtId="49" fontId="22" fillId="2" borderId="4" xfId="3" applyNumberFormat="1" applyFont="1" applyFill="1" applyBorder="1" applyAlignment="1" applyProtection="1">
      <alignment horizontal="center" vertical="center" wrapText="1"/>
    </xf>
    <xf numFmtId="49" fontId="22" fillId="2" borderId="8" xfId="3" applyNumberFormat="1" applyFont="1" applyFill="1" applyBorder="1" applyAlignment="1" applyProtection="1">
      <alignment horizontal="center" vertical="center" wrapText="1"/>
    </xf>
    <xf numFmtId="9" fontId="22" fillId="0" borderId="4" xfId="0" applyNumberFormat="1" applyFont="1" applyFill="1" applyBorder="1" applyAlignment="1" applyProtection="1">
      <alignment horizontal="center" vertical="center" textRotation="90" wrapText="1"/>
    </xf>
    <xf numFmtId="9" fontId="22" fillId="0" borderId="10" xfId="0" applyNumberFormat="1" applyFont="1" applyFill="1" applyBorder="1" applyAlignment="1" applyProtection="1">
      <alignment horizontal="center" vertical="center" textRotation="90" wrapText="1"/>
    </xf>
    <xf numFmtId="9" fontId="22" fillId="0" borderId="8" xfId="0" applyNumberFormat="1" applyFont="1" applyFill="1" applyBorder="1" applyAlignment="1" applyProtection="1">
      <alignment horizontal="center" vertical="center" textRotation="90" wrapText="1"/>
    </xf>
    <xf numFmtId="49" fontId="12" fillId="0" borderId="4" xfId="3" applyNumberFormat="1" applyFont="1" applyFill="1" applyBorder="1" applyAlignment="1" applyProtection="1">
      <alignment horizontal="center" vertical="center" wrapText="1"/>
    </xf>
    <xf numFmtId="49" fontId="12" fillId="0" borderId="10" xfId="3" applyNumberFormat="1" applyFont="1" applyFill="1" applyBorder="1" applyAlignment="1" applyProtection="1">
      <alignment horizontal="center" vertical="center" wrapText="1"/>
    </xf>
    <xf numFmtId="49" fontId="12" fillId="0" borderId="8" xfId="3" applyNumberFormat="1" applyFont="1" applyFill="1" applyBorder="1" applyAlignment="1" applyProtection="1">
      <alignment horizontal="center" vertical="center" wrapText="1"/>
    </xf>
    <xf numFmtId="49" fontId="22" fillId="0" borderId="4" xfId="3" applyNumberFormat="1" applyFont="1" applyFill="1" applyBorder="1" applyAlignment="1" applyProtection="1">
      <alignment horizontal="center" vertical="center" wrapText="1"/>
    </xf>
    <xf numFmtId="49" fontId="22" fillId="0" borderId="10" xfId="3" applyNumberFormat="1" applyFont="1" applyFill="1" applyBorder="1" applyAlignment="1" applyProtection="1">
      <alignment horizontal="center" vertical="center" wrapText="1"/>
    </xf>
    <xf numFmtId="49" fontId="22" fillId="0" borderId="8" xfId="3" applyNumberFormat="1" applyFont="1" applyFill="1" applyBorder="1" applyAlignment="1" applyProtection="1">
      <alignment horizontal="center" vertical="center" wrapText="1"/>
    </xf>
    <xf numFmtId="9" fontId="28" fillId="0" borderId="4" xfId="0" quotePrefix="1" applyNumberFormat="1" applyFont="1" applyFill="1" applyBorder="1" applyAlignment="1" applyProtection="1">
      <alignment horizontal="center" vertical="center" wrapText="1"/>
    </xf>
    <xf numFmtId="9" fontId="28" fillId="0" borderId="10" xfId="0" applyNumberFormat="1" applyFont="1" applyFill="1" applyBorder="1" applyAlignment="1" applyProtection="1">
      <alignment horizontal="center" vertical="center" wrapText="1"/>
    </xf>
    <xf numFmtId="9" fontId="28" fillId="0" borderId="8" xfId="0" applyNumberFormat="1" applyFont="1" applyFill="1" applyBorder="1" applyAlignment="1" applyProtection="1">
      <alignment horizontal="center" vertical="center" wrapText="1"/>
    </xf>
    <xf numFmtId="9" fontId="23" fillId="0" borderId="4" xfId="0" applyNumberFormat="1" applyFont="1" applyFill="1" applyBorder="1" applyAlignment="1" applyProtection="1">
      <alignment horizontal="justify" vertical="center" wrapText="1"/>
    </xf>
    <xf numFmtId="9" fontId="23" fillId="0" borderId="4" xfId="0" applyNumberFormat="1" applyFont="1" applyFill="1" applyBorder="1" applyAlignment="1" applyProtection="1">
      <alignment horizontal="center" vertical="center" wrapText="1"/>
    </xf>
    <xf numFmtId="9" fontId="23" fillId="0" borderId="8" xfId="0" applyNumberFormat="1" applyFont="1" applyFill="1" applyBorder="1" applyAlignment="1" applyProtection="1">
      <alignment horizontal="center" vertical="center" wrapText="1"/>
    </xf>
    <xf numFmtId="44" fontId="23" fillId="0" borderId="4" xfId="4" applyFont="1" applyFill="1" applyBorder="1" applyAlignment="1" applyProtection="1">
      <alignment horizontal="center" vertical="center" wrapText="1"/>
    </xf>
    <xf numFmtId="44" fontId="23" fillId="0" borderId="8" xfId="4" applyFont="1" applyFill="1" applyBorder="1" applyAlignment="1" applyProtection="1">
      <alignment horizontal="center" vertical="center" wrapText="1"/>
    </xf>
    <xf numFmtId="0" fontId="17" fillId="6" borderId="4" xfId="0" applyFont="1" applyFill="1" applyBorder="1" applyAlignment="1" applyProtection="1">
      <alignment horizontal="center" vertical="center" wrapText="1"/>
    </xf>
    <xf numFmtId="0" fontId="17" fillId="6" borderId="8" xfId="0" applyFont="1" applyFill="1" applyBorder="1" applyAlignment="1" applyProtection="1">
      <alignment horizontal="center" vertical="center" wrapText="1"/>
    </xf>
    <xf numFmtId="0" fontId="8" fillId="6" borderId="4" xfId="0" applyFont="1" applyFill="1" applyBorder="1" applyAlignment="1" applyProtection="1">
      <alignment horizontal="center" vertical="center" wrapText="1"/>
    </xf>
    <xf numFmtId="0" fontId="8" fillId="6" borderId="10" xfId="0" applyFont="1" applyFill="1" applyBorder="1" applyAlignment="1" applyProtection="1">
      <alignment horizontal="center" vertical="center" wrapText="1"/>
    </xf>
    <xf numFmtId="0" fontId="8" fillId="6" borderId="6" xfId="0" applyFont="1" applyFill="1" applyBorder="1" applyAlignment="1" applyProtection="1">
      <alignment horizontal="center" vertical="center" wrapText="1"/>
    </xf>
    <xf numFmtId="0" fontId="8" fillId="6" borderId="11" xfId="0" applyFont="1" applyFill="1" applyBorder="1" applyAlignment="1" applyProtection="1">
      <alignment horizontal="center" vertical="center" wrapText="1"/>
    </xf>
    <xf numFmtId="0" fontId="17" fillId="6" borderId="2" xfId="0" applyFont="1" applyFill="1" applyBorder="1" applyAlignment="1" applyProtection="1">
      <alignment horizontal="center" vertical="center" wrapText="1"/>
    </xf>
    <xf numFmtId="0" fontId="17" fillId="6" borderId="5" xfId="0" applyFont="1" applyFill="1" applyBorder="1" applyAlignment="1" applyProtection="1">
      <alignment horizontal="center" vertical="center" wrapText="1"/>
    </xf>
    <xf numFmtId="0" fontId="17" fillId="6" borderId="7" xfId="0" applyFont="1" applyFill="1" applyBorder="1" applyAlignment="1" applyProtection="1">
      <alignment horizontal="center" vertical="center" wrapText="1"/>
    </xf>
    <xf numFmtId="0" fontId="17" fillId="6" borderId="6" xfId="0" applyFont="1" applyFill="1" applyBorder="1" applyAlignment="1" applyProtection="1">
      <alignment horizontal="center" vertical="center" wrapText="1"/>
    </xf>
    <xf numFmtId="0" fontId="23" fillId="0" borderId="4" xfId="0" applyFont="1" applyFill="1" applyBorder="1" applyAlignment="1" applyProtection="1">
      <alignment horizontal="left" vertical="center" wrapText="1"/>
    </xf>
    <xf numFmtId="0" fontId="23" fillId="0" borderId="8" xfId="0" applyFont="1" applyFill="1" applyBorder="1" applyAlignment="1" applyProtection="1">
      <alignment horizontal="left" vertical="center" wrapText="1"/>
    </xf>
    <xf numFmtId="9" fontId="22" fillId="0" borderId="10" xfId="0" applyNumberFormat="1" applyFont="1" applyFill="1" applyBorder="1" applyAlignment="1" applyProtection="1">
      <alignment horizontal="center" vertical="center" wrapText="1"/>
    </xf>
    <xf numFmtId="10" fontId="26" fillId="0" borderId="4" xfId="1" applyNumberFormat="1" applyFont="1" applyBorder="1" applyAlignment="1" applyProtection="1">
      <alignment horizontal="center" vertical="center" wrapText="1"/>
    </xf>
    <xf numFmtId="10" fontId="26" fillId="0" borderId="8" xfId="1" applyNumberFormat="1" applyFont="1" applyBorder="1" applyAlignment="1" applyProtection="1">
      <alignment horizontal="center" vertical="center" wrapText="1"/>
    </xf>
    <xf numFmtId="44" fontId="23" fillId="2" borderId="4" xfId="4" applyFont="1" applyFill="1" applyBorder="1" applyAlignment="1" applyProtection="1">
      <alignment horizontal="center" vertical="center" wrapText="1"/>
    </xf>
    <xf numFmtId="44" fontId="23" fillId="2" borderId="8" xfId="4" applyFont="1" applyFill="1" applyBorder="1" applyAlignment="1" applyProtection="1">
      <alignment horizontal="center" vertical="center" wrapText="1"/>
    </xf>
    <xf numFmtId="9" fontId="28" fillId="2" borderId="4" xfId="0" applyNumberFormat="1" applyFont="1" applyFill="1" applyBorder="1" applyAlignment="1" applyProtection="1">
      <alignment horizontal="justify" vertical="center" wrapText="1"/>
    </xf>
    <xf numFmtId="9" fontId="28" fillId="2" borderId="8" xfId="0" applyNumberFormat="1" applyFont="1" applyFill="1" applyBorder="1" applyAlignment="1" applyProtection="1">
      <alignment horizontal="justify" vertical="center" wrapText="1"/>
    </xf>
    <xf numFmtId="0" fontId="12" fillId="0" borderId="10" xfId="0" applyFont="1" applyFill="1" applyBorder="1" applyAlignment="1" applyProtection="1">
      <alignment horizontal="center" vertical="center"/>
    </xf>
    <xf numFmtId="1" fontId="23" fillId="0" borderId="4" xfId="0" applyNumberFormat="1" applyFont="1" applyFill="1" applyBorder="1" applyAlignment="1" applyProtection="1">
      <alignment horizontal="center" vertical="center" wrapText="1"/>
    </xf>
    <xf numFmtId="1" fontId="23" fillId="0" borderId="10" xfId="0" applyNumberFormat="1" applyFont="1" applyFill="1" applyBorder="1" applyAlignment="1" applyProtection="1">
      <alignment horizontal="center" vertical="center" wrapText="1"/>
    </xf>
    <xf numFmtId="1" fontId="23" fillId="0" borderId="8" xfId="0" applyNumberFormat="1" applyFont="1" applyFill="1" applyBorder="1" applyAlignment="1" applyProtection="1">
      <alignment horizontal="center" vertical="center" wrapText="1"/>
    </xf>
    <xf numFmtId="10" fontId="26" fillId="0" borderId="10" xfId="1" applyNumberFormat="1" applyFont="1" applyBorder="1" applyAlignment="1" applyProtection="1">
      <alignment horizontal="center" vertical="center" wrapText="1"/>
    </xf>
    <xf numFmtId="1" fontId="28" fillId="0" borderId="4" xfId="0" applyNumberFormat="1" applyFont="1" applyFill="1" applyBorder="1" applyAlignment="1" applyProtection="1">
      <alignment horizontal="justify" vertical="center" wrapText="1"/>
    </xf>
    <xf numFmtId="1" fontId="28" fillId="0" borderId="10" xfId="0" applyNumberFormat="1" applyFont="1" applyFill="1" applyBorder="1" applyAlignment="1" applyProtection="1">
      <alignment horizontal="justify" vertical="center" wrapText="1"/>
    </xf>
    <xf numFmtId="1" fontId="28" fillId="0" borderId="8" xfId="0" applyNumberFormat="1" applyFont="1" applyFill="1" applyBorder="1" applyAlignment="1" applyProtection="1">
      <alignment horizontal="justify" vertical="center" wrapText="1"/>
    </xf>
    <xf numFmtId="9" fontId="23" fillId="0" borderId="10" xfId="0" applyNumberFormat="1" applyFont="1" applyFill="1" applyBorder="1" applyAlignment="1" applyProtection="1">
      <alignment horizontal="center" vertical="center" wrapText="1"/>
    </xf>
    <xf numFmtId="9" fontId="22" fillId="0" borderId="4" xfId="3" applyNumberFormat="1" applyFont="1" applyFill="1" applyBorder="1" applyAlignment="1" applyProtection="1">
      <alignment horizontal="center" vertical="center" textRotation="90" wrapText="1"/>
    </xf>
    <xf numFmtId="9" fontId="22" fillId="0" borderId="10" xfId="3" applyNumberFormat="1" applyFont="1" applyFill="1" applyBorder="1" applyAlignment="1" applyProtection="1">
      <alignment horizontal="center" vertical="center" textRotation="90" wrapText="1"/>
    </xf>
    <xf numFmtId="9" fontId="22" fillId="0" borderId="8" xfId="3" applyNumberFormat="1" applyFont="1" applyFill="1" applyBorder="1" applyAlignment="1" applyProtection="1">
      <alignment horizontal="center" vertical="center" textRotation="90" wrapText="1"/>
    </xf>
    <xf numFmtId="9" fontId="28" fillId="0" borderId="10" xfId="0" quotePrefix="1" applyNumberFormat="1" applyFont="1" applyFill="1" applyBorder="1" applyAlignment="1" applyProtection="1">
      <alignment horizontal="justify" vertical="center" wrapText="1"/>
    </xf>
    <xf numFmtId="9" fontId="28" fillId="0" borderId="8" xfId="0" quotePrefix="1" applyNumberFormat="1" applyFont="1" applyFill="1" applyBorder="1" applyAlignment="1" applyProtection="1">
      <alignment horizontal="justify" vertical="center" wrapText="1"/>
    </xf>
    <xf numFmtId="9" fontId="36" fillId="0" borderId="4" xfId="0" quotePrefix="1" applyNumberFormat="1" applyFont="1" applyFill="1" applyBorder="1" applyAlignment="1" applyProtection="1">
      <alignment horizontal="justify" vertical="center" wrapText="1"/>
    </xf>
    <xf numFmtId="9" fontId="36" fillId="0" borderId="8" xfId="0" quotePrefix="1" applyNumberFormat="1" applyFont="1" applyFill="1" applyBorder="1" applyAlignment="1" applyProtection="1">
      <alignment horizontal="justify" vertical="center" wrapText="1"/>
    </xf>
    <xf numFmtId="9" fontId="22" fillId="2" borderId="4" xfId="3" applyFont="1" applyFill="1" applyBorder="1" applyAlignment="1" applyProtection="1">
      <alignment horizontal="center" vertical="center" wrapText="1"/>
    </xf>
    <xf numFmtId="9" fontId="22" fillId="2" borderId="8" xfId="3" applyFont="1" applyFill="1" applyBorder="1" applyAlignment="1" applyProtection="1">
      <alignment horizontal="center" vertical="center" wrapText="1"/>
    </xf>
    <xf numFmtId="0" fontId="13" fillId="2" borderId="15" xfId="0" applyFont="1" applyFill="1" applyBorder="1" applyAlignment="1" applyProtection="1">
      <alignment horizontal="center" vertical="center" wrapText="1"/>
    </xf>
    <xf numFmtId="9" fontId="23" fillId="0" borderId="4" xfId="0" applyNumberFormat="1" applyFont="1" applyFill="1" applyBorder="1" applyAlignment="1" applyProtection="1">
      <alignment horizontal="left" vertical="center" wrapText="1"/>
    </xf>
    <xf numFmtId="9" fontId="23" fillId="0" borderId="8" xfId="0" applyNumberFormat="1" applyFont="1" applyFill="1" applyBorder="1" applyAlignment="1" applyProtection="1">
      <alignment horizontal="left" vertical="center" wrapText="1"/>
    </xf>
    <xf numFmtId="9" fontId="28" fillId="0" borderId="4" xfId="0" applyNumberFormat="1" applyFont="1" applyFill="1" applyBorder="1" applyAlignment="1" applyProtection="1">
      <alignment horizontal="justify" vertical="center" wrapText="1"/>
    </xf>
    <xf numFmtId="9" fontId="28" fillId="0" borderId="8" xfId="0" applyNumberFormat="1" applyFont="1" applyFill="1" applyBorder="1" applyAlignment="1" applyProtection="1">
      <alignment horizontal="justify" vertical="center" wrapText="1"/>
    </xf>
    <xf numFmtId="9" fontId="23" fillId="0" borderId="4" xfId="3" applyFont="1" applyFill="1" applyBorder="1" applyAlignment="1" applyProtection="1">
      <alignment horizontal="center" vertical="center" wrapText="1"/>
    </xf>
    <xf numFmtId="9" fontId="23" fillId="0" borderId="8" xfId="3" applyFont="1" applyFill="1" applyBorder="1" applyAlignment="1" applyProtection="1">
      <alignment horizontal="center" vertical="center" wrapText="1"/>
    </xf>
    <xf numFmtId="9" fontId="28" fillId="0" borderId="4" xfId="3" applyFont="1" applyFill="1" applyBorder="1" applyAlignment="1" applyProtection="1">
      <alignment horizontal="justify" vertical="center" wrapText="1"/>
    </xf>
    <xf numFmtId="9" fontId="28" fillId="0" borderId="8" xfId="3" applyFont="1" applyFill="1" applyBorder="1" applyAlignment="1" applyProtection="1">
      <alignment horizontal="justify" vertical="center" wrapText="1"/>
    </xf>
    <xf numFmtId="9" fontId="23" fillId="0" borderId="4" xfId="3" applyNumberFormat="1" applyFont="1" applyFill="1" applyBorder="1" applyAlignment="1" applyProtection="1">
      <alignment horizontal="justify" vertical="center" wrapText="1"/>
    </xf>
    <xf numFmtId="9" fontId="23" fillId="0" borderId="8" xfId="3" applyNumberFormat="1" applyFont="1" applyFill="1" applyBorder="1" applyAlignment="1" applyProtection="1">
      <alignment horizontal="justify" vertical="center" wrapText="1"/>
    </xf>
    <xf numFmtId="9" fontId="22" fillId="0" borderId="4" xfId="3" applyFont="1" applyFill="1" applyBorder="1" applyAlignment="1" applyProtection="1">
      <alignment horizontal="center" vertical="center" wrapText="1"/>
    </xf>
    <xf numFmtId="9" fontId="22" fillId="0" borderId="8" xfId="3" applyFont="1" applyFill="1" applyBorder="1" applyAlignment="1" applyProtection="1">
      <alignment horizontal="center" vertical="center" wrapText="1"/>
    </xf>
    <xf numFmtId="9" fontId="23" fillId="0" borderId="4" xfId="3" applyFont="1" applyFill="1" applyBorder="1" applyAlignment="1" applyProtection="1">
      <alignment horizontal="justify" vertical="center" wrapText="1"/>
    </xf>
    <xf numFmtId="9" fontId="23" fillId="0" borderId="8" xfId="3" applyFont="1" applyFill="1" applyBorder="1" applyAlignment="1" applyProtection="1">
      <alignment horizontal="justify" vertical="center" wrapText="1"/>
    </xf>
    <xf numFmtId="9" fontId="36" fillId="0" borderId="4" xfId="0" quotePrefix="1" applyNumberFormat="1" applyFont="1" applyFill="1" applyBorder="1" applyAlignment="1">
      <alignment horizontal="justify" vertical="center" wrapText="1"/>
    </xf>
    <xf numFmtId="9" fontId="36" fillId="0" borderId="8" xfId="0" quotePrefix="1" applyNumberFormat="1" applyFont="1" applyFill="1" applyBorder="1" applyAlignment="1">
      <alignment horizontal="justify" vertical="center" wrapText="1"/>
    </xf>
    <xf numFmtId="9" fontId="22" fillId="2" borderId="4" xfId="0" applyNumberFormat="1" applyFont="1" applyFill="1" applyBorder="1" applyAlignment="1">
      <alignment horizontal="center" vertical="center" wrapText="1"/>
    </xf>
    <xf numFmtId="9" fontId="22" fillId="2" borderId="10" xfId="0" applyNumberFormat="1" applyFont="1" applyFill="1" applyBorder="1" applyAlignment="1">
      <alignment horizontal="center" vertical="center" wrapText="1"/>
    </xf>
    <xf numFmtId="9" fontId="22" fillId="2" borderId="8" xfId="0" applyNumberFormat="1" applyFont="1" applyFill="1" applyBorder="1" applyAlignment="1">
      <alignment horizontal="center" vertical="center" wrapText="1"/>
    </xf>
    <xf numFmtId="9" fontId="23" fillId="0" borderId="4" xfId="0" applyNumberFormat="1" applyFont="1" applyFill="1" applyBorder="1" applyAlignment="1">
      <alignment horizontal="justify" vertical="center" wrapText="1"/>
    </xf>
    <xf numFmtId="9" fontId="23" fillId="0" borderId="10" xfId="0" applyNumberFormat="1" applyFont="1" applyFill="1" applyBorder="1" applyAlignment="1">
      <alignment horizontal="justify" vertical="center" wrapText="1"/>
    </xf>
    <xf numFmtId="9" fontId="23" fillId="0" borderId="8" xfId="0" applyNumberFormat="1" applyFont="1" applyFill="1" applyBorder="1" applyAlignment="1">
      <alignment horizontal="justify" vertical="center" wrapText="1"/>
    </xf>
    <xf numFmtId="9" fontId="23" fillId="0" borderId="4" xfId="0" applyNumberFormat="1" applyFont="1" applyFill="1" applyBorder="1" applyAlignment="1">
      <alignment horizontal="left" vertical="center" wrapText="1"/>
    </xf>
    <xf numFmtId="9" fontId="23" fillId="0" borderId="8" xfId="0" applyNumberFormat="1" applyFont="1" applyFill="1" applyBorder="1" applyAlignment="1">
      <alignment horizontal="left" vertical="center" wrapText="1"/>
    </xf>
    <xf numFmtId="9" fontId="28" fillId="0" borderId="4" xfId="0" applyNumberFormat="1" applyFont="1" applyFill="1" applyBorder="1" applyAlignment="1">
      <alignment horizontal="justify" vertical="center" wrapText="1"/>
    </xf>
    <xf numFmtId="9" fontId="28" fillId="0" borderId="8" xfId="0" applyNumberFormat="1" applyFont="1" applyFill="1" applyBorder="1" applyAlignment="1">
      <alignment horizontal="justify" vertical="center" wrapText="1"/>
    </xf>
    <xf numFmtId="9" fontId="23" fillId="0" borderId="4" xfId="3" applyFont="1" applyFill="1" applyBorder="1" applyAlignment="1">
      <alignment horizontal="center" vertical="center" wrapText="1"/>
    </xf>
    <xf numFmtId="9" fontId="23" fillId="0" borderId="8" xfId="3" applyFont="1" applyFill="1" applyBorder="1" applyAlignment="1">
      <alignment horizontal="center" vertical="center" wrapText="1"/>
    </xf>
    <xf numFmtId="9" fontId="28" fillId="0" borderId="4" xfId="3" applyFont="1" applyFill="1" applyBorder="1" applyAlignment="1">
      <alignment horizontal="justify" vertical="center" wrapText="1"/>
    </xf>
    <xf numFmtId="9" fontId="28" fillId="0" borderId="8" xfId="3" applyFont="1" applyFill="1" applyBorder="1" applyAlignment="1">
      <alignment horizontal="justify" vertical="center" wrapText="1"/>
    </xf>
    <xf numFmtId="9" fontId="23" fillId="0" borderId="4" xfId="3" applyNumberFormat="1" applyFont="1" applyFill="1" applyBorder="1" applyAlignment="1">
      <alignment horizontal="justify" vertical="center" wrapText="1"/>
    </xf>
    <xf numFmtId="9" fontId="23" fillId="0" borderId="8" xfId="3" applyNumberFormat="1" applyFont="1" applyFill="1" applyBorder="1" applyAlignment="1">
      <alignment horizontal="justify" vertical="center" wrapText="1"/>
    </xf>
    <xf numFmtId="9" fontId="22" fillId="0" borderId="4" xfId="3" applyFont="1" applyFill="1" applyBorder="1" applyAlignment="1">
      <alignment horizontal="center" vertical="center" wrapText="1"/>
    </xf>
    <xf numFmtId="9" fontId="22" fillId="0" borderId="8" xfId="3" applyFont="1" applyFill="1" applyBorder="1" applyAlignment="1">
      <alignment horizontal="center" vertical="center" wrapText="1"/>
    </xf>
    <xf numFmtId="9" fontId="23" fillId="0" borderId="4" xfId="3" applyFont="1" applyFill="1" applyBorder="1" applyAlignment="1">
      <alignment horizontal="justify" vertical="center" wrapText="1"/>
    </xf>
    <xf numFmtId="9" fontId="23" fillId="0" borderId="8" xfId="3" applyFont="1" applyFill="1" applyBorder="1" applyAlignment="1">
      <alignment horizontal="justify" vertical="center" wrapText="1"/>
    </xf>
    <xf numFmtId="1" fontId="28" fillId="0" borderId="4" xfId="0" applyNumberFormat="1" applyFont="1" applyFill="1" applyBorder="1" applyAlignment="1">
      <alignment horizontal="justify" vertical="center" wrapText="1"/>
    </xf>
    <xf numFmtId="1" fontId="28" fillId="0" borderId="8" xfId="0" applyNumberFormat="1" applyFont="1" applyFill="1" applyBorder="1" applyAlignment="1">
      <alignment horizontal="justify" vertical="center" wrapText="1"/>
    </xf>
    <xf numFmtId="0" fontId="12" fillId="0" borderId="4"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23" fillId="0" borderId="4" xfId="0" applyFont="1" applyFill="1" applyBorder="1" applyAlignment="1">
      <alignment horizontal="justify" vertical="center" wrapText="1"/>
    </xf>
    <xf numFmtId="0" fontId="23" fillId="0" borderId="10" xfId="0" applyFont="1" applyFill="1" applyBorder="1" applyAlignment="1">
      <alignment horizontal="justify" vertical="center" wrapText="1"/>
    </xf>
    <xf numFmtId="0" fontId="23" fillId="0" borderId="8" xfId="0" applyFont="1" applyFill="1" applyBorder="1" applyAlignment="1">
      <alignment horizontal="justify" vertical="center" wrapText="1"/>
    </xf>
    <xf numFmtId="9" fontId="22" fillId="0" borderId="4" xfId="3" applyNumberFormat="1" applyFont="1" applyFill="1" applyBorder="1" applyAlignment="1">
      <alignment horizontal="center" vertical="center" textRotation="90" wrapText="1"/>
    </xf>
    <xf numFmtId="9" fontId="22" fillId="0" borderId="10" xfId="3" applyNumberFormat="1" applyFont="1" applyFill="1" applyBorder="1" applyAlignment="1">
      <alignment horizontal="center" vertical="center" textRotation="90" wrapText="1"/>
    </xf>
    <xf numFmtId="9" fontId="22" fillId="0" borderId="8" xfId="3" applyNumberFormat="1" applyFont="1" applyFill="1" applyBorder="1" applyAlignment="1">
      <alignment horizontal="center" vertical="center" textRotation="90" wrapText="1"/>
    </xf>
    <xf numFmtId="49" fontId="12" fillId="0" borderId="4" xfId="3" applyNumberFormat="1" applyFont="1" applyFill="1" applyBorder="1" applyAlignment="1">
      <alignment horizontal="center" vertical="center" wrapText="1"/>
    </xf>
    <xf numFmtId="49" fontId="12" fillId="0" borderId="10" xfId="3" applyNumberFormat="1" applyFont="1" applyFill="1" applyBorder="1" applyAlignment="1">
      <alignment horizontal="center" vertical="center" wrapText="1"/>
    </xf>
    <xf numFmtId="49" fontId="12" fillId="0" borderId="8" xfId="3" applyNumberFormat="1" applyFont="1" applyFill="1" applyBorder="1" applyAlignment="1">
      <alignment horizontal="center" vertical="center" wrapText="1"/>
    </xf>
    <xf numFmtId="49" fontId="22" fillId="0" borderId="4" xfId="3" applyNumberFormat="1" applyFont="1" applyFill="1" applyBorder="1" applyAlignment="1">
      <alignment horizontal="center" vertical="center" wrapText="1"/>
    </xf>
    <xf numFmtId="49" fontId="22" fillId="0" borderId="10" xfId="3" applyNumberFormat="1" applyFont="1" applyFill="1" applyBorder="1" applyAlignment="1">
      <alignment horizontal="center" vertical="center" wrapText="1"/>
    </xf>
    <xf numFmtId="49" fontId="22" fillId="0" borderId="8" xfId="3" applyNumberFormat="1" applyFont="1" applyFill="1" applyBorder="1" applyAlignment="1">
      <alignment horizontal="center" vertical="center" wrapText="1"/>
    </xf>
    <xf numFmtId="9" fontId="22" fillId="0" borderId="4" xfId="0" applyNumberFormat="1" applyFont="1" applyFill="1" applyBorder="1" applyAlignment="1">
      <alignment horizontal="center" vertical="center" wrapText="1"/>
    </xf>
    <xf numFmtId="9" fontId="22" fillId="0" borderId="10" xfId="0" applyNumberFormat="1" applyFont="1" applyFill="1" applyBorder="1" applyAlignment="1">
      <alignment horizontal="center" vertical="center" wrapText="1"/>
    </xf>
    <xf numFmtId="9" fontId="22" fillId="0" borderId="8" xfId="0" applyNumberFormat="1"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3" fillId="2" borderId="14" xfId="0" applyFont="1" applyFill="1" applyBorder="1" applyAlignment="1">
      <alignment horizontal="center" vertical="center" textRotation="90" wrapText="1"/>
    </xf>
    <xf numFmtId="0" fontId="3" fillId="2" borderId="16" xfId="0" applyFont="1" applyFill="1" applyBorder="1" applyAlignment="1">
      <alignment horizontal="center" vertical="center" textRotation="90" wrapText="1"/>
    </xf>
    <xf numFmtId="0" fontId="3" fillId="2" borderId="20" xfId="0" applyFont="1" applyFill="1" applyBorder="1" applyAlignment="1">
      <alignment horizontal="center" vertical="center" textRotation="90" wrapText="1"/>
    </xf>
    <xf numFmtId="9" fontId="22" fillId="2" borderId="4" xfId="3" applyFont="1" applyFill="1" applyBorder="1" applyAlignment="1">
      <alignment horizontal="center" vertical="center" wrapText="1"/>
    </xf>
    <xf numFmtId="9" fontId="22" fillId="2" borderId="8" xfId="3" applyFont="1" applyFill="1" applyBorder="1" applyAlignment="1">
      <alignment horizontal="center" vertical="center" wrapText="1"/>
    </xf>
    <xf numFmtId="9" fontId="23" fillId="0" borderId="4" xfId="0" applyNumberFormat="1" applyFont="1" applyFill="1" applyBorder="1" applyAlignment="1">
      <alignment horizontal="center" vertical="center" wrapText="1"/>
    </xf>
    <xf numFmtId="9" fontId="23" fillId="0" borderId="10" xfId="0" applyNumberFormat="1" applyFont="1" applyFill="1" applyBorder="1" applyAlignment="1">
      <alignment horizontal="center" vertical="center" wrapText="1"/>
    </xf>
    <xf numFmtId="9" fontId="23" fillId="0" borderId="8" xfId="0" applyNumberFormat="1" applyFont="1" applyFill="1" applyBorder="1" applyAlignment="1">
      <alignment horizontal="center" vertical="center" wrapText="1"/>
    </xf>
    <xf numFmtId="9" fontId="36" fillId="0" borderId="10" xfId="0" quotePrefix="1" applyNumberFormat="1" applyFont="1" applyFill="1" applyBorder="1" applyAlignment="1">
      <alignment horizontal="justify" vertical="center" wrapText="1"/>
    </xf>
    <xf numFmtId="1" fontId="36" fillId="0" borderId="4" xfId="0" applyNumberFormat="1" applyFont="1" applyFill="1" applyBorder="1" applyAlignment="1">
      <alignment horizontal="justify" vertical="center" wrapText="1"/>
    </xf>
    <xf numFmtId="1" fontId="36" fillId="0" borderId="10" xfId="0" applyNumberFormat="1" applyFont="1" applyFill="1" applyBorder="1" applyAlignment="1">
      <alignment horizontal="justify" vertical="center" wrapText="1"/>
    </xf>
    <xf numFmtId="1" fontId="36" fillId="0" borderId="8" xfId="0" applyNumberFormat="1" applyFont="1" applyFill="1" applyBorder="1" applyAlignment="1">
      <alignment horizontal="justify" vertical="center" wrapText="1"/>
    </xf>
    <xf numFmtId="1" fontId="23" fillId="0" borderId="4" xfId="0" applyNumberFormat="1" applyFont="1" applyFill="1" applyBorder="1" applyAlignment="1">
      <alignment horizontal="center" vertical="center" wrapText="1"/>
    </xf>
    <xf numFmtId="1" fontId="23" fillId="0" borderId="10" xfId="0" applyNumberFormat="1" applyFont="1" applyFill="1" applyBorder="1" applyAlignment="1">
      <alignment horizontal="center" vertical="center" wrapText="1"/>
    </xf>
    <xf numFmtId="1" fontId="23" fillId="0" borderId="8" xfId="0" applyNumberFormat="1" applyFont="1" applyFill="1" applyBorder="1" applyAlignment="1">
      <alignment horizontal="center" vertical="center" wrapText="1"/>
    </xf>
    <xf numFmtId="9" fontId="22" fillId="0" borderId="4" xfId="0" applyNumberFormat="1" applyFont="1" applyFill="1" applyBorder="1" applyAlignment="1">
      <alignment horizontal="center" vertical="center" textRotation="90" wrapText="1"/>
    </xf>
    <xf numFmtId="9" fontId="22" fillId="0" borderId="8" xfId="0" applyNumberFormat="1" applyFont="1" applyFill="1" applyBorder="1" applyAlignment="1">
      <alignment horizontal="center" vertical="center" textRotation="90" wrapText="1"/>
    </xf>
    <xf numFmtId="0" fontId="13" fillId="2" borderId="15" xfId="0" applyFont="1" applyFill="1" applyBorder="1" applyAlignment="1">
      <alignment horizontal="center" vertical="center" wrapText="1"/>
    </xf>
    <xf numFmtId="0" fontId="23" fillId="2" borderId="4" xfId="0" applyFont="1" applyFill="1" applyBorder="1" applyAlignment="1">
      <alignment horizontal="justify" vertical="center" wrapText="1"/>
    </xf>
    <xf numFmtId="0" fontId="23" fillId="2" borderId="8" xfId="0" applyFont="1" applyFill="1" applyBorder="1" applyAlignment="1">
      <alignment horizontal="justify" vertical="center" wrapText="1"/>
    </xf>
    <xf numFmtId="49" fontId="22" fillId="2" borderId="4" xfId="3" applyNumberFormat="1" applyFont="1" applyFill="1" applyBorder="1" applyAlignment="1">
      <alignment horizontal="center" vertical="center" wrapText="1"/>
    </xf>
    <xf numFmtId="49" fontId="22" fillId="2" borderId="8" xfId="3" applyNumberFormat="1" applyFont="1" applyFill="1" applyBorder="1" applyAlignment="1">
      <alignment horizontal="center" vertical="center" wrapText="1"/>
    </xf>
    <xf numFmtId="9" fontId="22" fillId="0" borderId="10" xfId="0" applyNumberFormat="1" applyFont="1" applyFill="1" applyBorder="1" applyAlignment="1">
      <alignment horizontal="center" vertical="center" textRotation="90" wrapText="1"/>
    </xf>
    <xf numFmtId="9" fontId="36" fillId="0" borderId="10" xfId="0" applyNumberFormat="1" applyFont="1" applyFill="1" applyBorder="1" applyAlignment="1">
      <alignment horizontal="justify" vertical="center" wrapText="1"/>
    </xf>
    <xf numFmtId="9" fontId="36" fillId="0" borderId="8" xfId="0" applyNumberFormat="1" applyFont="1" applyFill="1" applyBorder="1" applyAlignment="1">
      <alignment horizontal="justify" vertical="center" wrapText="1"/>
    </xf>
    <xf numFmtId="0" fontId="12" fillId="0" borderId="4"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10" xfId="0" applyFont="1" applyFill="1" applyBorder="1" applyAlignment="1">
      <alignment horizontal="center" vertical="center"/>
    </xf>
    <xf numFmtId="44" fontId="23" fillId="0" borderId="4" xfId="4" applyFont="1" applyFill="1" applyBorder="1" applyAlignment="1">
      <alignment horizontal="center" vertical="center" wrapText="1"/>
    </xf>
    <xf numFmtId="44" fontId="23" fillId="0" borderId="8" xfId="4" applyFont="1" applyFill="1" applyBorder="1" applyAlignment="1">
      <alignment horizontal="center" vertical="center" wrapText="1"/>
    </xf>
    <xf numFmtId="44" fontId="23" fillId="2" borderId="4" xfId="4" applyFont="1" applyFill="1" applyBorder="1" applyAlignment="1">
      <alignment horizontal="center" vertical="center" wrapText="1"/>
    </xf>
    <xf numFmtId="44" fontId="23" fillId="2" borderId="8" xfId="4" applyFont="1" applyFill="1" applyBorder="1" applyAlignment="1">
      <alignment horizontal="center" vertical="center" wrapText="1"/>
    </xf>
    <xf numFmtId="0" fontId="18" fillId="2" borderId="4" xfId="0" applyFont="1" applyFill="1" applyBorder="1" applyAlignment="1">
      <alignment horizontal="center" vertical="center" textRotation="90"/>
    </xf>
    <xf numFmtId="0" fontId="18" fillId="2" borderId="10" xfId="0" applyFont="1" applyFill="1" applyBorder="1" applyAlignment="1">
      <alignment horizontal="center" vertical="center" textRotation="90"/>
    </xf>
    <xf numFmtId="0" fontId="18" fillId="2" borderId="8" xfId="0" applyFont="1" applyFill="1" applyBorder="1" applyAlignment="1">
      <alignment horizontal="center" vertical="center" textRotation="90"/>
    </xf>
    <xf numFmtId="0" fontId="18" fillId="2" borderId="4" xfId="0" applyFont="1" applyFill="1" applyBorder="1" applyAlignment="1">
      <alignment horizontal="center" vertical="center" textRotation="90" wrapText="1"/>
    </xf>
    <xf numFmtId="0" fontId="18" fillId="2" borderId="10" xfId="0" applyFont="1" applyFill="1" applyBorder="1" applyAlignment="1">
      <alignment horizontal="center" vertical="center" textRotation="90" wrapText="1"/>
    </xf>
    <xf numFmtId="0" fontId="18" fillId="2" borderId="8" xfId="0" applyFont="1" applyFill="1" applyBorder="1" applyAlignment="1">
      <alignment horizontal="center" vertical="center" textRotation="90" wrapText="1"/>
    </xf>
    <xf numFmtId="37" fontId="11" fillId="2" borderId="13" xfId="2" applyNumberFormat="1" applyFont="1" applyFill="1" applyBorder="1" applyAlignment="1">
      <alignment horizontal="center" vertical="center" wrapText="1"/>
    </xf>
    <xf numFmtId="37" fontId="11" fillId="2" borderId="15" xfId="2" applyNumberFormat="1" applyFont="1" applyFill="1" applyBorder="1" applyAlignment="1">
      <alignment horizontal="center" vertical="center" wrapText="1"/>
    </xf>
    <xf numFmtId="10" fontId="3" fillId="2" borderId="14" xfId="0" applyNumberFormat="1" applyFont="1" applyFill="1" applyBorder="1" applyAlignment="1">
      <alignment horizontal="center" vertical="center" textRotation="90" wrapText="1"/>
    </xf>
    <xf numFmtId="10" fontId="3" fillId="2" borderId="16" xfId="0" applyNumberFormat="1" applyFont="1" applyFill="1" applyBorder="1" applyAlignment="1">
      <alignment horizontal="center" vertical="center" textRotation="90" wrapText="1"/>
    </xf>
    <xf numFmtId="9" fontId="22" fillId="0" borderId="4" xfId="3" applyFont="1" applyFill="1" applyBorder="1" applyAlignment="1">
      <alignment horizontal="center" vertical="center" textRotation="90" wrapText="1"/>
    </xf>
    <xf numFmtId="9" fontId="22" fillId="0" borderId="10" xfId="3" applyFont="1" applyFill="1" applyBorder="1" applyAlignment="1">
      <alignment horizontal="center" vertical="center" textRotation="90" wrapText="1"/>
    </xf>
    <xf numFmtId="9" fontId="22" fillId="0" borderId="8" xfId="3" applyFont="1" applyFill="1" applyBorder="1" applyAlignment="1">
      <alignment horizontal="center" vertical="center" textRotation="90" wrapText="1"/>
    </xf>
    <xf numFmtId="0" fontId="17" fillId="6" borderId="1"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17" fillId="6" borderId="2" xfId="0" applyFont="1" applyFill="1" applyBorder="1" applyAlignment="1">
      <alignment horizontal="center" vertical="center" wrapText="1"/>
    </xf>
    <xf numFmtId="0" fontId="17" fillId="6" borderId="5"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7" fillId="6" borderId="6" xfId="0" applyFont="1" applyFill="1" applyBorder="1" applyAlignment="1">
      <alignment horizontal="center" vertical="center" wrapText="1"/>
    </xf>
    <xf numFmtId="0" fontId="23" fillId="0" borderId="4" xfId="0" applyFont="1" applyFill="1" applyBorder="1" applyAlignment="1">
      <alignment horizontal="left" vertical="center" wrapText="1"/>
    </xf>
    <xf numFmtId="0" fontId="23" fillId="0" borderId="8" xfId="0" applyFont="1" applyFill="1" applyBorder="1" applyAlignment="1">
      <alignment horizontal="left" vertical="center" wrapText="1"/>
    </xf>
    <xf numFmtId="0" fontId="4"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5" fillId="6" borderId="1" xfId="0" applyFont="1" applyFill="1" applyBorder="1" applyAlignment="1">
      <alignment horizontal="center" vertical="center"/>
    </xf>
    <xf numFmtId="0" fontId="5" fillId="6" borderId="2"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29" fillId="6" borderId="5" xfId="0" applyFont="1" applyFill="1" applyBorder="1" applyAlignment="1">
      <alignment horizontal="center" vertical="center" wrapText="1"/>
    </xf>
    <xf numFmtId="0" fontId="29" fillId="6" borderId="7" xfId="0" applyFont="1" applyFill="1" applyBorder="1" applyAlignment="1">
      <alignment horizontal="center" vertical="center" wrapText="1"/>
    </xf>
    <xf numFmtId="0" fontId="29" fillId="6" borderId="6" xfId="0" applyFont="1" applyFill="1" applyBorder="1" applyAlignment="1">
      <alignment horizontal="center" vertical="center" wrapText="1"/>
    </xf>
    <xf numFmtId="0" fontId="17" fillId="6" borderId="4" xfId="0" applyFont="1" applyFill="1" applyBorder="1" applyAlignment="1">
      <alignment horizontal="center" vertical="center" wrapText="1"/>
    </xf>
    <xf numFmtId="0" fontId="17" fillId="6" borderId="8" xfId="0" applyFont="1" applyFill="1" applyBorder="1" applyAlignment="1">
      <alignment horizontal="center" vertical="center" wrapText="1"/>
    </xf>
    <xf numFmtId="9" fontId="28" fillId="0" borderId="4" xfId="0" quotePrefix="1" applyNumberFormat="1" applyFont="1" applyFill="1" applyBorder="1" applyAlignment="1">
      <alignment horizontal="justify" vertical="center" wrapText="1"/>
    </xf>
    <xf numFmtId="9" fontId="28" fillId="0" borderId="10" xfId="0" quotePrefix="1" applyNumberFormat="1" applyFont="1" applyFill="1" applyBorder="1" applyAlignment="1">
      <alignment horizontal="justify" vertical="center" wrapText="1"/>
    </xf>
    <xf numFmtId="9" fontId="28" fillId="0" borderId="8" xfId="0" quotePrefix="1" applyNumberFormat="1" applyFont="1" applyFill="1" applyBorder="1" applyAlignment="1">
      <alignment horizontal="justify" vertical="center" wrapText="1"/>
    </xf>
    <xf numFmtId="1" fontId="28" fillId="0" borderId="4" xfId="0" quotePrefix="1" applyNumberFormat="1" applyFont="1" applyFill="1" applyBorder="1" applyAlignment="1">
      <alignment horizontal="justify" vertical="center" wrapText="1"/>
    </xf>
    <xf numFmtId="1" fontId="28" fillId="0" borderId="8" xfId="0" quotePrefix="1" applyNumberFormat="1" applyFont="1" applyFill="1" applyBorder="1" applyAlignment="1">
      <alignment horizontal="justify" vertical="center" wrapText="1"/>
    </xf>
    <xf numFmtId="9" fontId="28" fillId="0" borderId="10" xfId="0" applyNumberFormat="1" applyFont="1" applyFill="1" applyBorder="1" applyAlignment="1">
      <alignment horizontal="justify" vertical="center" wrapText="1"/>
    </xf>
    <xf numFmtId="1" fontId="28" fillId="0" borderId="10" xfId="0" applyNumberFormat="1" applyFont="1" applyFill="1" applyBorder="1" applyAlignment="1">
      <alignment horizontal="justify" vertical="center" wrapText="1"/>
    </xf>
    <xf numFmtId="0" fontId="23" fillId="0" borderId="4" xfId="0" applyFont="1" applyFill="1" applyBorder="1" applyAlignment="1">
      <alignment horizontal="center" vertical="center" wrapText="1"/>
    </xf>
    <xf numFmtId="0" fontId="23" fillId="0" borderId="8" xfId="0" applyFont="1" applyFill="1" applyBorder="1" applyAlignment="1">
      <alignment horizontal="center" vertical="center" wrapText="1"/>
    </xf>
    <xf numFmtId="9" fontId="38" fillId="0" borderId="10" xfId="0" quotePrefix="1" applyNumberFormat="1" applyFont="1" applyFill="1" applyBorder="1" applyAlignment="1">
      <alignment horizontal="center" vertical="center" wrapText="1"/>
    </xf>
    <xf numFmtId="9" fontId="38" fillId="0" borderId="8" xfId="0" quotePrefix="1" applyNumberFormat="1" applyFont="1" applyFill="1" applyBorder="1" applyAlignment="1">
      <alignment horizontal="center" vertical="center" wrapText="1"/>
    </xf>
    <xf numFmtId="0" fontId="23" fillId="0" borderId="10" xfId="0" applyFont="1" applyFill="1" applyBorder="1" applyAlignment="1">
      <alignment horizontal="left" vertical="center" wrapText="1"/>
    </xf>
    <xf numFmtId="9" fontId="23" fillId="0" borderId="10" xfId="3" applyFont="1" applyFill="1" applyBorder="1" applyAlignment="1">
      <alignment horizontal="center" vertical="center" wrapText="1"/>
    </xf>
    <xf numFmtId="9" fontId="28" fillId="0" borderId="10" xfId="3" applyFont="1" applyFill="1" applyBorder="1" applyAlignment="1">
      <alignment horizontal="justify" vertical="center" wrapText="1"/>
    </xf>
    <xf numFmtId="9" fontId="23" fillId="0" borderId="10" xfId="3" applyFont="1" applyFill="1" applyBorder="1" applyAlignment="1">
      <alignment horizontal="justify" vertical="center" wrapText="1"/>
    </xf>
    <xf numFmtId="9" fontId="22" fillId="2" borderId="10" xfId="3" applyFont="1" applyFill="1" applyBorder="1" applyAlignment="1">
      <alignment horizontal="center" vertical="center" wrapText="1"/>
    </xf>
    <xf numFmtId="9" fontId="23" fillId="0" borderId="10" xfId="3" applyNumberFormat="1" applyFont="1" applyFill="1" applyBorder="1" applyAlignment="1">
      <alignment horizontal="justify" vertical="center" wrapText="1"/>
    </xf>
    <xf numFmtId="9" fontId="22" fillId="0" borderId="10" xfId="3" applyFont="1" applyFill="1" applyBorder="1" applyAlignment="1">
      <alignment horizontal="center" vertical="center" wrapText="1"/>
    </xf>
    <xf numFmtId="1" fontId="23" fillId="0" borderId="4" xfId="3" applyNumberFormat="1" applyFont="1" applyFill="1" applyBorder="1" applyAlignment="1">
      <alignment horizontal="center" vertical="center" wrapText="1"/>
    </xf>
    <xf numFmtId="1" fontId="23" fillId="0" borderId="8" xfId="3" applyNumberFormat="1" applyFont="1" applyFill="1" applyBorder="1" applyAlignment="1">
      <alignment horizontal="center" vertical="center" wrapText="1"/>
    </xf>
    <xf numFmtId="1" fontId="28" fillId="0" borderId="4" xfId="3" applyNumberFormat="1" applyFont="1" applyFill="1" applyBorder="1" applyAlignment="1">
      <alignment horizontal="justify" vertical="center" wrapText="1"/>
    </xf>
    <xf numFmtId="1" fontId="28" fillId="0" borderId="8" xfId="3" applyNumberFormat="1" applyFont="1" applyFill="1" applyBorder="1" applyAlignment="1">
      <alignment horizontal="justify" vertical="center" wrapText="1"/>
    </xf>
    <xf numFmtId="9" fontId="28" fillId="0" borderId="4" xfId="0" applyNumberFormat="1" applyFont="1" applyFill="1" applyBorder="1" applyAlignment="1">
      <alignment horizontal="justify" vertical="top" wrapText="1"/>
    </xf>
    <xf numFmtId="9" fontId="28" fillId="0" borderId="8" xfId="0" applyNumberFormat="1" applyFont="1" applyFill="1" applyBorder="1" applyAlignment="1">
      <alignment horizontal="justify" vertical="top" wrapText="1"/>
    </xf>
    <xf numFmtId="0" fontId="28" fillId="0" borderId="4" xfId="0" quotePrefix="1" applyNumberFormat="1" applyFont="1" applyFill="1" applyBorder="1" applyAlignment="1">
      <alignment horizontal="justify" vertical="center" wrapText="1"/>
    </xf>
    <xf numFmtId="0" fontId="28" fillId="0" borderId="8" xfId="0" quotePrefix="1" applyNumberFormat="1" applyFont="1" applyFill="1" applyBorder="1" applyAlignment="1">
      <alignment horizontal="justify" vertical="center" wrapText="1"/>
    </xf>
    <xf numFmtId="165" fontId="23" fillId="2" borderId="4" xfId="0" applyNumberFormat="1" applyFont="1" applyFill="1" applyBorder="1" applyAlignment="1">
      <alignment horizontal="center" vertical="center" wrapText="1"/>
    </xf>
    <xf numFmtId="165" fontId="23" fillId="2" borderId="8" xfId="0" applyNumberFormat="1" applyFont="1" applyFill="1" applyBorder="1" applyAlignment="1">
      <alignment horizontal="center" vertical="center" wrapText="1"/>
    </xf>
    <xf numFmtId="10" fontId="23" fillId="2" borderId="4" xfId="0" applyNumberFormat="1" applyFont="1" applyFill="1" applyBorder="1" applyAlignment="1">
      <alignment horizontal="center" vertical="center" wrapText="1"/>
    </xf>
    <xf numFmtId="10" fontId="23" fillId="2" borderId="8" xfId="0" applyNumberFormat="1" applyFont="1" applyFill="1" applyBorder="1" applyAlignment="1">
      <alignment horizontal="center" vertical="center" wrapText="1"/>
    </xf>
    <xf numFmtId="9" fontId="23" fillId="2" borderId="4" xfId="0" applyNumberFormat="1" applyFont="1" applyFill="1" applyBorder="1" applyAlignment="1">
      <alignment horizontal="center" vertical="center" wrapText="1"/>
    </xf>
    <xf numFmtId="9" fontId="23" fillId="2" borderId="8" xfId="0" applyNumberFormat="1" applyFont="1" applyFill="1" applyBorder="1" applyAlignment="1">
      <alignment horizontal="center" vertical="center" wrapText="1"/>
    </xf>
    <xf numFmtId="0" fontId="23" fillId="2" borderId="10" xfId="0" applyFont="1" applyFill="1" applyBorder="1" applyAlignment="1">
      <alignment horizontal="justify" vertical="center" wrapText="1"/>
    </xf>
    <xf numFmtId="49" fontId="22" fillId="2" borderId="10" xfId="3" applyNumberFormat="1" applyFont="1" applyFill="1" applyBorder="1" applyAlignment="1">
      <alignment horizontal="center" vertical="center" wrapText="1"/>
    </xf>
    <xf numFmtId="9" fontId="28" fillId="2" borderId="4" xfId="0" applyNumberFormat="1" applyFont="1" applyFill="1" applyBorder="1" applyAlignment="1">
      <alignment horizontal="justify" vertical="center" wrapText="1"/>
    </xf>
    <xf numFmtId="9" fontId="28" fillId="2" borderId="8" xfId="0" applyNumberFormat="1" applyFont="1" applyFill="1" applyBorder="1" applyAlignment="1">
      <alignment horizontal="justify" vertical="center" wrapText="1"/>
    </xf>
    <xf numFmtId="9" fontId="42" fillId="0" borderId="10" xfId="0" applyNumberFormat="1" applyFont="1" applyFill="1" applyBorder="1" applyAlignment="1">
      <alignment horizontal="justify" vertical="center" wrapText="1"/>
    </xf>
    <xf numFmtId="9" fontId="42" fillId="0" borderId="8" xfId="0" applyNumberFormat="1" applyFont="1" applyFill="1" applyBorder="1" applyAlignment="1">
      <alignment horizontal="justify" vertical="center" wrapText="1"/>
    </xf>
    <xf numFmtId="9" fontId="23" fillId="2" borderId="4" xfId="0" applyNumberFormat="1" applyFont="1" applyFill="1" applyBorder="1" applyAlignment="1">
      <alignment horizontal="justify" vertical="center" wrapText="1"/>
    </xf>
    <xf numFmtId="9" fontId="23" fillId="2" borderId="8" xfId="0" applyNumberFormat="1" applyFont="1" applyFill="1" applyBorder="1" applyAlignment="1">
      <alignment horizontal="justify" vertical="center" wrapText="1"/>
    </xf>
    <xf numFmtId="1" fontId="28" fillId="0" borderId="10" xfId="0" quotePrefix="1" applyNumberFormat="1" applyFont="1" applyFill="1" applyBorder="1" applyAlignment="1">
      <alignment horizontal="justify" vertical="center" wrapText="1"/>
    </xf>
    <xf numFmtId="9" fontId="28" fillId="0" borderId="4" xfId="0" quotePrefix="1" applyNumberFormat="1" applyFont="1" applyFill="1" applyBorder="1" applyAlignment="1">
      <alignment horizontal="center" vertical="center" wrapText="1"/>
    </xf>
    <xf numFmtId="9" fontId="28" fillId="0" borderId="10" xfId="0" quotePrefix="1" applyNumberFormat="1" applyFont="1" applyFill="1" applyBorder="1" applyAlignment="1">
      <alignment horizontal="center" vertical="center" wrapText="1"/>
    </xf>
    <xf numFmtId="9" fontId="28" fillId="0" borderId="8" xfId="0" quotePrefix="1" applyNumberFormat="1" applyFont="1" applyFill="1" applyBorder="1" applyAlignment="1">
      <alignment horizontal="center" vertical="center" wrapText="1"/>
    </xf>
    <xf numFmtId="1" fontId="36" fillId="0" borderId="4" xfId="0" quotePrefix="1" applyNumberFormat="1" applyFont="1" applyFill="1" applyBorder="1" applyAlignment="1">
      <alignment horizontal="justify" vertical="center" wrapText="1"/>
    </xf>
    <xf numFmtId="1" fontId="36" fillId="0" borderId="10" xfId="0" quotePrefix="1" applyNumberFormat="1" applyFont="1" applyFill="1" applyBorder="1" applyAlignment="1">
      <alignment horizontal="justify" vertical="center" wrapText="1"/>
    </xf>
    <xf numFmtId="1" fontId="36" fillId="0" borderId="8" xfId="0" quotePrefix="1" applyNumberFormat="1" applyFont="1" applyFill="1" applyBorder="1" applyAlignment="1">
      <alignment horizontal="justify" vertical="center" wrapText="1"/>
    </xf>
    <xf numFmtId="9" fontId="41" fillId="0" borderId="10" xfId="0" applyNumberFormat="1" applyFont="1" applyFill="1" applyBorder="1" applyAlignment="1">
      <alignment horizontal="center" vertical="center" wrapText="1"/>
    </xf>
    <xf numFmtId="9" fontId="41" fillId="0" borderId="8" xfId="0" applyNumberFormat="1" applyFont="1" applyFill="1" applyBorder="1" applyAlignment="1">
      <alignment horizontal="center" vertical="center" wrapText="1"/>
    </xf>
    <xf numFmtId="9" fontId="44" fillId="2" borderId="4" xfId="0" applyNumberFormat="1" applyFont="1" applyFill="1" applyBorder="1" applyAlignment="1">
      <alignment horizontal="center" vertical="center" wrapText="1"/>
    </xf>
    <xf numFmtId="9" fontId="44" fillId="2" borderId="10" xfId="0" applyNumberFormat="1" applyFont="1" applyFill="1" applyBorder="1" applyAlignment="1">
      <alignment horizontal="center" vertical="center" wrapText="1"/>
    </xf>
    <xf numFmtId="9" fontId="44" fillId="2" borderId="8" xfId="0" applyNumberFormat="1" applyFont="1" applyFill="1" applyBorder="1" applyAlignment="1">
      <alignment horizontal="center" vertical="center" wrapText="1"/>
    </xf>
    <xf numFmtId="9" fontId="40" fillId="2" borderId="4" xfId="0" applyNumberFormat="1" applyFont="1" applyFill="1" applyBorder="1" applyAlignment="1">
      <alignment horizontal="center" vertical="center" wrapText="1"/>
    </xf>
    <xf numFmtId="9" fontId="40" fillId="2" borderId="8" xfId="0" applyNumberFormat="1" applyFont="1" applyFill="1" applyBorder="1" applyAlignment="1">
      <alignment horizontal="center" vertical="center" wrapText="1"/>
    </xf>
    <xf numFmtId="9" fontId="40" fillId="2" borderId="4" xfId="3" applyFont="1" applyFill="1" applyBorder="1" applyAlignment="1">
      <alignment horizontal="center" vertical="center" wrapText="1"/>
    </xf>
    <xf numFmtId="9" fontId="40" fillId="2" borderId="8" xfId="3" applyFont="1" applyFill="1" applyBorder="1" applyAlignment="1">
      <alignment horizontal="center" vertical="center" wrapText="1"/>
    </xf>
    <xf numFmtId="9" fontId="22" fillId="2" borderId="4" xfId="0" applyNumberFormat="1" applyFont="1" applyFill="1" applyBorder="1" applyAlignment="1" applyProtection="1">
      <alignment horizontal="center" vertical="center" wrapText="1"/>
      <protection locked="0"/>
    </xf>
    <xf numFmtId="9" fontId="22" fillId="2" borderId="8" xfId="0" applyNumberFormat="1" applyFont="1" applyFill="1" applyBorder="1" applyAlignment="1" applyProtection="1">
      <alignment horizontal="center" vertical="center" wrapText="1"/>
      <protection locked="0"/>
    </xf>
    <xf numFmtId="9" fontId="22" fillId="2" borderId="10" xfId="0" applyNumberFormat="1" applyFont="1" applyFill="1" applyBorder="1" applyAlignment="1" applyProtection="1">
      <alignment horizontal="center" vertical="center" wrapText="1"/>
      <protection locked="0"/>
    </xf>
    <xf numFmtId="9" fontId="23" fillId="0" borderId="4" xfId="0" applyNumberFormat="1" applyFont="1" applyFill="1" applyBorder="1" applyAlignment="1" applyProtection="1">
      <alignment horizontal="justify" vertical="center" wrapText="1"/>
      <protection locked="0"/>
    </xf>
    <xf numFmtId="9" fontId="23" fillId="0" borderId="10" xfId="0" applyNumberFormat="1" applyFont="1" applyFill="1" applyBorder="1" applyAlignment="1" applyProtection="1">
      <alignment horizontal="justify" vertical="center" wrapText="1"/>
      <protection locked="0"/>
    </xf>
    <xf numFmtId="9" fontId="23" fillId="0" borderId="8" xfId="0" applyNumberFormat="1" applyFont="1" applyFill="1" applyBorder="1" applyAlignment="1" applyProtection="1">
      <alignment horizontal="justify" vertical="center" wrapText="1"/>
      <protection locked="0"/>
    </xf>
    <xf numFmtId="9" fontId="41" fillId="2" borderId="4" xfId="0" applyNumberFormat="1" applyFont="1" applyFill="1" applyBorder="1" applyAlignment="1" applyProtection="1">
      <alignment horizontal="center" vertical="center" wrapText="1"/>
      <protection locked="0"/>
    </xf>
    <xf numFmtId="9" fontId="41" fillId="2" borderId="10" xfId="0" applyNumberFormat="1" applyFont="1" applyFill="1" applyBorder="1" applyAlignment="1" applyProtection="1">
      <alignment horizontal="center" vertical="center" wrapText="1"/>
      <protection locked="0"/>
    </xf>
    <xf numFmtId="9" fontId="41" fillId="2" borderId="8" xfId="0" applyNumberFormat="1" applyFont="1" applyFill="1" applyBorder="1" applyAlignment="1" applyProtection="1">
      <alignment horizontal="center" vertical="center" wrapText="1"/>
      <protection locked="0"/>
    </xf>
    <xf numFmtId="9" fontId="54" fillId="2" borderId="5" xfId="0" applyNumberFormat="1" applyFont="1" applyFill="1" applyBorder="1" applyAlignment="1" applyProtection="1">
      <alignment horizontal="center" vertical="center" wrapText="1"/>
      <protection locked="0"/>
    </xf>
    <xf numFmtId="9" fontId="54" fillId="2" borderId="7" xfId="0" applyNumberFormat="1" applyFont="1" applyFill="1" applyBorder="1" applyAlignment="1" applyProtection="1">
      <alignment horizontal="center" vertical="center" wrapText="1"/>
      <protection locked="0"/>
    </xf>
    <xf numFmtId="9" fontId="54" fillId="2" borderId="6" xfId="0" applyNumberFormat="1" applyFont="1" applyFill="1" applyBorder="1" applyAlignment="1" applyProtection="1">
      <alignment horizontal="center" vertical="center" wrapText="1"/>
      <protection locked="0"/>
    </xf>
    <xf numFmtId="9" fontId="54" fillId="2" borderId="12" xfId="0" applyNumberFormat="1" applyFont="1" applyFill="1" applyBorder="1" applyAlignment="1" applyProtection="1">
      <alignment horizontal="center" vertical="center" wrapText="1"/>
      <protection locked="0"/>
    </xf>
    <xf numFmtId="9" fontId="54" fillId="2" borderId="0" xfId="0" applyNumberFormat="1" applyFont="1" applyFill="1" applyBorder="1" applyAlignment="1" applyProtection="1">
      <alignment horizontal="center" vertical="center" wrapText="1"/>
      <protection locked="0"/>
    </xf>
    <xf numFmtId="9" fontId="54" fillId="2" borderId="11" xfId="0" applyNumberFormat="1" applyFont="1" applyFill="1" applyBorder="1" applyAlignment="1" applyProtection="1">
      <alignment horizontal="center" vertical="center" wrapText="1"/>
      <protection locked="0"/>
    </xf>
    <xf numFmtId="9" fontId="54" fillId="2" borderId="21" xfId="0" applyNumberFormat="1" applyFont="1" applyFill="1" applyBorder="1" applyAlignment="1" applyProtection="1">
      <alignment horizontal="center" vertical="center" wrapText="1"/>
      <protection locked="0"/>
    </xf>
    <xf numFmtId="9" fontId="54" fillId="2" borderId="22" xfId="0" applyNumberFormat="1" applyFont="1" applyFill="1" applyBorder="1" applyAlignment="1" applyProtection="1">
      <alignment horizontal="center" vertical="center" wrapText="1"/>
      <protection locked="0"/>
    </xf>
    <xf numFmtId="9" fontId="54" fillId="2" borderId="23" xfId="0" applyNumberFormat="1" applyFont="1" applyFill="1" applyBorder="1" applyAlignment="1" applyProtection="1">
      <alignment horizontal="center" vertical="center" wrapText="1"/>
      <protection locked="0"/>
    </xf>
    <xf numFmtId="44" fontId="23" fillId="0" borderId="4" xfId="4" applyFont="1" applyFill="1" applyBorder="1" applyAlignment="1" applyProtection="1">
      <alignment horizontal="center" vertical="center" wrapText="1"/>
      <protection locked="0"/>
    </xf>
    <xf numFmtId="44" fontId="23" fillId="0" borderId="8" xfId="4" applyFont="1" applyFill="1" applyBorder="1" applyAlignment="1" applyProtection="1">
      <alignment horizontal="center" vertical="center" wrapText="1"/>
      <protection locked="0"/>
    </xf>
    <xf numFmtId="10" fontId="26" fillId="0" borderId="4" xfId="1" applyNumberFormat="1" applyFont="1" applyBorder="1" applyAlignment="1" applyProtection="1">
      <alignment horizontal="center" vertical="center" wrapText="1"/>
      <protection locked="0"/>
    </xf>
    <xf numFmtId="10" fontId="26" fillId="0" borderId="8" xfId="1" applyNumberFormat="1" applyFont="1" applyBorder="1" applyAlignment="1" applyProtection="1">
      <alignment horizontal="center" vertical="center" wrapText="1"/>
      <protection locked="0"/>
    </xf>
    <xf numFmtId="44" fontId="23" fillId="2" borderId="4" xfId="4" applyFont="1" applyFill="1" applyBorder="1" applyAlignment="1" applyProtection="1">
      <alignment horizontal="center" vertical="center" wrapText="1"/>
      <protection locked="0"/>
    </xf>
    <xf numFmtId="44" fontId="23" fillId="2" borderId="8" xfId="4" applyFont="1" applyFill="1" applyBorder="1" applyAlignment="1" applyProtection="1">
      <alignment horizontal="center" vertical="center" wrapText="1"/>
      <protection locked="0"/>
    </xf>
    <xf numFmtId="9" fontId="22" fillId="0" borderId="4" xfId="0" applyNumberFormat="1" applyFont="1" applyFill="1" applyBorder="1" applyAlignment="1" applyProtection="1">
      <alignment horizontal="center" vertical="center" wrapText="1"/>
      <protection locked="0"/>
    </xf>
    <xf numFmtId="9" fontId="22" fillId="0" borderId="10" xfId="0" applyNumberFormat="1" applyFont="1" applyFill="1" applyBorder="1" applyAlignment="1" applyProtection="1">
      <alignment horizontal="center" vertical="center" wrapText="1"/>
      <protection locked="0"/>
    </xf>
    <xf numFmtId="9" fontId="22" fillId="0" borderId="8" xfId="0" applyNumberFormat="1" applyFont="1" applyFill="1" applyBorder="1" applyAlignment="1" applyProtection="1">
      <alignment horizontal="center" vertical="center" wrapText="1"/>
      <protection locked="0"/>
    </xf>
    <xf numFmtId="1" fontId="23" fillId="0" borderId="4" xfId="0" applyNumberFormat="1" applyFont="1" applyFill="1" applyBorder="1" applyAlignment="1" applyProtection="1">
      <alignment horizontal="center" vertical="center" wrapText="1"/>
      <protection locked="0"/>
    </xf>
    <xf numFmtId="1" fontId="23" fillId="0" borderId="10" xfId="0" applyNumberFormat="1" applyFont="1" applyFill="1" applyBorder="1" applyAlignment="1" applyProtection="1">
      <alignment horizontal="center" vertical="center" wrapText="1"/>
      <protection locked="0"/>
    </xf>
    <xf numFmtId="1" fontId="23" fillId="0" borderId="8" xfId="0" applyNumberFormat="1" applyFont="1" applyFill="1" applyBorder="1" applyAlignment="1" applyProtection="1">
      <alignment horizontal="center" vertical="center" wrapText="1"/>
      <protection locked="0"/>
    </xf>
    <xf numFmtId="10" fontId="26" fillId="0" borderId="10" xfId="1" applyNumberFormat="1" applyFont="1" applyBorder="1" applyAlignment="1" applyProtection="1">
      <alignment horizontal="center" vertical="center" wrapText="1"/>
      <protection locked="0"/>
    </xf>
    <xf numFmtId="1" fontId="28" fillId="0" borderId="4" xfId="0" applyNumberFormat="1" applyFont="1" applyFill="1" applyBorder="1" applyAlignment="1" applyProtection="1">
      <alignment horizontal="justify" vertical="center" wrapText="1"/>
      <protection locked="0"/>
    </xf>
    <xf numFmtId="1" fontId="28" fillId="0" borderId="10" xfId="0" applyNumberFormat="1" applyFont="1" applyFill="1" applyBorder="1" applyAlignment="1" applyProtection="1">
      <alignment horizontal="justify" vertical="center" wrapText="1"/>
      <protection locked="0"/>
    </xf>
    <xf numFmtId="1" fontId="28" fillId="0" borderId="8" xfId="0" applyNumberFormat="1" applyFont="1" applyFill="1" applyBorder="1" applyAlignment="1" applyProtection="1">
      <alignment horizontal="justify" vertical="center" wrapText="1"/>
      <protection locked="0"/>
    </xf>
    <xf numFmtId="9" fontId="28" fillId="2" borderId="4" xfId="0" quotePrefix="1" applyNumberFormat="1" applyFont="1" applyFill="1" applyBorder="1" applyAlignment="1">
      <alignment horizontal="center" vertical="center" wrapText="1"/>
    </xf>
    <xf numFmtId="9" fontId="28" fillId="2" borderId="10" xfId="0" quotePrefix="1" applyNumberFormat="1" applyFont="1" applyFill="1" applyBorder="1" applyAlignment="1">
      <alignment horizontal="center" vertical="center" wrapText="1"/>
    </xf>
    <xf numFmtId="9" fontId="28" fillId="2" borderId="8" xfId="0" quotePrefix="1" applyNumberFormat="1" applyFont="1" applyFill="1" applyBorder="1" applyAlignment="1">
      <alignment horizontal="center" vertical="center" wrapText="1"/>
    </xf>
    <xf numFmtId="9" fontId="23" fillId="0" borderId="4" xfId="0" applyNumberFormat="1" applyFont="1" applyFill="1" applyBorder="1" applyAlignment="1" applyProtection="1">
      <alignment horizontal="center" vertical="center" wrapText="1"/>
      <protection locked="0"/>
    </xf>
    <xf numFmtId="9" fontId="23" fillId="0" borderId="10" xfId="0" applyNumberFormat="1" applyFont="1" applyFill="1" applyBorder="1" applyAlignment="1" applyProtection="1">
      <alignment horizontal="center" vertical="center" wrapText="1"/>
      <protection locked="0"/>
    </xf>
    <xf numFmtId="9" fontId="23" fillId="0" borderId="8" xfId="0" applyNumberFormat="1" applyFont="1" applyFill="1" applyBorder="1" applyAlignment="1" applyProtection="1">
      <alignment horizontal="center" vertical="center" wrapText="1"/>
      <protection locked="0"/>
    </xf>
    <xf numFmtId="9" fontId="48" fillId="0" borderId="4" xfId="0" applyNumberFormat="1" applyFont="1" applyFill="1" applyBorder="1" applyAlignment="1" applyProtection="1">
      <alignment horizontal="justify" vertical="center" wrapText="1"/>
      <protection locked="0"/>
    </xf>
    <xf numFmtId="9" fontId="48" fillId="0" borderId="8" xfId="0" applyNumberFormat="1" applyFont="1" applyFill="1" applyBorder="1" applyAlignment="1" applyProtection="1">
      <alignment horizontal="justify" vertical="center" wrapText="1"/>
      <protection locked="0"/>
    </xf>
    <xf numFmtId="9" fontId="49" fillId="0" borderId="4" xfId="0" applyNumberFormat="1" applyFont="1" applyFill="1" applyBorder="1" applyAlignment="1" applyProtection="1">
      <alignment horizontal="center" vertical="center" wrapText="1"/>
      <protection locked="0"/>
    </xf>
    <xf numFmtId="9" fontId="49" fillId="0" borderId="8" xfId="0" applyNumberFormat="1" applyFont="1" applyFill="1" applyBorder="1" applyAlignment="1" applyProtection="1">
      <alignment horizontal="center" vertical="center" wrapText="1"/>
      <protection locked="0"/>
    </xf>
    <xf numFmtId="9" fontId="48" fillId="0" borderId="4" xfId="0" applyNumberFormat="1" applyFont="1" applyFill="1" applyBorder="1" applyAlignment="1" applyProtection="1">
      <alignment horizontal="center" vertical="center" wrapText="1"/>
      <protection locked="0"/>
    </xf>
    <xf numFmtId="9" fontId="48" fillId="0" borderId="8" xfId="0" applyNumberFormat="1" applyFont="1" applyFill="1" applyBorder="1" applyAlignment="1" applyProtection="1">
      <alignment horizontal="center" vertical="center" wrapText="1"/>
      <protection locked="0"/>
    </xf>
    <xf numFmtId="1" fontId="28" fillId="2" borderId="4" xfId="0" quotePrefix="1" applyNumberFormat="1" applyFont="1" applyFill="1" applyBorder="1" applyAlignment="1" applyProtection="1">
      <alignment horizontal="justify" vertical="center" wrapText="1"/>
      <protection locked="0"/>
    </xf>
    <xf numFmtId="1" fontId="28" fillId="2" borderId="10" xfId="0" quotePrefix="1" applyNumberFormat="1" applyFont="1" applyFill="1" applyBorder="1" applyAlignment="1" applyProtection="1">
      <alignment horizontal="justify" vertical="center" wrapText="1"/>
      <protection locked="0"/>
    </xf>
    <xf numFmtId="1" fontId="28" fillId="2" borderId="8" xfId="0" quotePrefix="1" applyNumberFormat="1" applyFont="1" applyFill="1" applyBorder="1" applyAlignment="1" applyProtection="1">
      <alignment horizontal="justify" vertical="center" wrapText="1"/>
      <protection locked="0"/>
    </xf>
    <xf numFmtId="0" fontId="12" fillId="2" borderId="4"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8" xfId="0" applyFont="1" applyFill="1" applyBorder="1" applyAlignment="1">
      <alignment horizontal="center" vertical="center" wrapText="1"/>
    </xf>
    <xf numFmtId="9" fontId="22" fillId="2" borderId="4" xfId="3" applyFont="1" applyFill="1" applyBorder="1" applyAlignment="1">
      <alignment horizontal="center" vertical="center" textRotation="90" wrapText="1"/>
    </xf>
    <xf numFmtId="9" fontId="22" fillId="2" borderId="10" xfId="3" applyFont="1" applyFill="1" applyBorder="1" applyAlignment="1">
      <alignment horizontal="center" vertical="center" textRotation="90" wrapText="1"/>
    </xf>
    <xf numFmtId="9" fontId="22" fillId="2" borderId="8" xfId="3" applyFont="1" applyFill="1" applyBorder="1" applyAlignment="1">
      <alignment horizontal="center" vertical="center" textRotation="90" wrapText="1"/>
    </xf>
    <xf numFmtId="49" fontId="12" fillId="2" borderId="4" xfId="3" applyNumberFormat="1" applyFont="1" applyFill="1" applyBorder="1" applyAlignment="1">
      <alignment horizontal="center" vertical="center" wrapText="1"/>
    </xf>
    <xf numFmtId="49" fontId="12" fillId="2" borderId="8" xfId="3" applyNumberFormat="1" applyFont="1" applyFill="1" applyBorder="1" applyAlignment="1">
      <alignment horizontal="center" vertical="center" wrapText="1"/>
    </xf>
    <xf numFmtId="165" fontId="23" fillId="2" borderId="4" xfId="0" applyNumberFormat="1" applyFont="1" applyFill="1" applyBorder="1" applyAlignment="1" applyProtection="1">
      <alignment horizontal="center" vertical="center" wrapText="1"/>
      <protection locked="0"/>
    </xf>
    <xf numFmtId="165" fontId="23" fillId="2" borderId="8" xfId="0" applyNumberFormat="1" applyFont="1" applyFill="1" applyBorder="1" applyAlignment="1" applyProtection="1">
      <alignment horizontal="center" vertical="center" wrapText="1"/>
      <protection locked="0"/>
    </xf>
    <xf numFmtId="9" fontId="26" fillId="0" borderId="4" xfId="1" applyNumberFormat="1" applyFont="1" applyBorder="1" applyAlignment="1" applyProtection="1">
      <alignment horizontal="center" vertical="center" wrapText="1"/>
      <protection locked="0"/>
    </xf>
    <xf numFmtId="9" fontId="26" fillId="0" borderId="8" xfId="1" applyNumberFormat="1" applyFont="1" applyBorder="1" applyAlignment="1" applyProtection="1">
      <alignment horizontal="center" vertical="center" wrapText="1"/>
      <protection locked="0"/>
    </xf>
    <xf numFmtId="9" fontId="28" fillId="2" borderId="4" xfId="0" applyNumberFormat="1" applyFont="1" applyFill="1" applyBorder="1" applyAlignment="1" applyProtection="1">
      <alignment horizontal="justify" vertical="center" wrapText="1"/>
      <protection locked="0"/>
    </xf>
    <xf numFmtId="9" fontId="28" fillId="2" borderId="8" xfId="0" applyNumberFormat="1" applyFont="1" applyFill="1" applyBorder="1" applyAlignment="1" applyProtection="1">
      <alignment horizontal="justify" vertical="center" wrapText="1"/>
      <protection locked="0"/>
    </xf>
    <xf numFmtId="9" fontId="23" fillId="2" borderId="4" xfId="0" applyNumberFormat="1" applyFont="1" applyFill="1" applyBorder="1" applyAlignment="1" applyProtection="1">
      <alignment horizontal="center" vertical="center" wrapText="1"/>
      <protection locked="0"/>
    </xf>
    <xf numFmtId="9" fontId="23" fillId="2" borderId="8" xfId="0" applyNumberFormat="1" applyFont="1" applyFill="1" applyBorder="1" applyAlignment="1" applyProtection="1">
      <alignment horizontal="center" vertical="center" wrapText="1"/>
      <protection locked="0"/>
    </xf>
    <xf numFmtId="9" fontId="23" fillId="2" borderId="4" xfId="0" applyNumberFormat="1" applyFont="1" applyFill="1" applyBorder="1" applyAlignment="1" applyProtection="1">
      <alignment horizontal="justify" vertical="center" wrapText="1"/>
      <protection locked="0"/>
    </xf>
    <xf numFmtId="9" fontId="23" fillId="2" borderId="8" xfId="0" applyNumberFormat="1" applyFont="1" applyFill="1" applyBorder="1" applyAlignment="1" applyProtection="1">
      <alignment horizontal="justify" vertical="center" wrapText="1"/>
      <protection locked="0"/>
    </xf>
    <xf numFmtId="9" fontId="28" fillId="0" borderId="4" xfId="3" applyFont="1" applyFill="1" applyBorder="1" applyAlignment="1" applyProtection="1">
      <alignment horizontal="justify" vertical="center" wrapText="1"/>
      <protection locked="0"/>
    </xf>
    <xf numFmtId="9" fontId="28" fillId="0" borderId="8" xfId="3" applyFont="1" applyFill="1" applyBorder="1" applyAlignment="1" applyProtection="1">
      <alignment horizontal="justify" vertical="center" wrapText="1"/>
      <protection locked="0"/>
    </xf>
    <xf numFmtId="9" fontId="23" fillId="0" borderId="10" xfId="0" applyNumberFormat="1" applyFont="1" applyFill="1" applyBorder="1" applyAlignment="1" applyProtection="1">
      <alignment horizontal="left" vertical="center" wrapText="1"/>
      <protection locked="0"/>
    </xf>
    <xf numFmtId="9" fontId="23" fillId="0" borderId="8" xfId="0" applyNumberFormat="1" applyFont="1" applyFill="1" applyBorder="1" applyAlignment="1" applyProtection="1">
      <alignment horizontal="left" vertical="center" wrapText="1"/>
      <protection locked="0"/>
    </xf>
    <xf numFmtId="10" fontId="23" fillId="0" borderId="4" xfId="0" applyNumberFormat="1" applyFont="1" applyFill="1" applyBorder="1" applyAlignment="1" applyProtection="1">
      <alignment horizontal="center" vertical="center" wrapText="1"/>
      <protection locked="0"/>
    </xf>
    <xf numFmtId="10" fontId="23" fillId="0" borderId="8" xfId="0" applyNumberFormat="1" applyFont="1" applyFill="1" applyBorder="1" applyAlignment="1" applyProtection="1">
      <alignment horizontal="center" vertical="center" wrapText="1"/>
      <protection locked="0"/>
    </xf>
    <xf numFmtId="10" fontId="23" fillId="0" borderId="4" xfId="1" applyNumberFormat="1" applyFont="1" applyFill="1" applyBorder="1" applyAlignment="1" applyProtection="1">
      <alignment horizontal="center" vertical="center" wrapText="1"/>
      <protection locked="0"/>
    </xf>
    <xf numFmtId="10" fontId="23" fillId="0" borderId="8" xfId="1" applyNumberFormat="1" applyFont="1" applyFill="1" applyBorder="1" applyAlignment="1" applyProtection="1">
      <alignment horizontal="center" vertical="center" wrapText="1"/>
      <protection locked="0"/>
    </xf>
    <xf numFmtId="9" fontId="28" fillId="0" borderId="4" xfId="1" applyFont="1" applyFill="1" applyBorder="1" applyAlignment="1" applyProtection="1">
      <alignment horizontal="justify" vertical="center" wrapText="1"/>
      <protection locked="0"/>
    </xf>
    <xf numFmtId="9" fontId="28" fillId="0" borderId="8" xfId="1" applyFont="1" applyFill="1" applyBorder="1" applyAlignment="1" applyProtection="1">
      <alignment horizontal="justify" vertical="center" wrapText="1"/>
      <protection locked="0"/>
    </xf>
    <xf numFmtId="1" fontId="23" fillId="0" borderId="4" xfId="3" applyNumberFormat="1" applyFont="1" applyFill="1" applyBorder="1" applyAlignment="1" applyProtection="1">
      <alignment horizontal="center" vertical="center" wrapText="1"/>
      <protection locked="0"/>
    </xf>
    <xf numFmtId="1" fontId="23" fillId="0" borderId="8" xfId="3" applyNumberFormat="1" applyFont="1" applyFill="1" applyBorder="1" applyAlignment="1" applyProtection="1">
      <alignment horizontal="center" vertical="center" wrapText="1"/>
      <protection locked="0"/>
    </xf>
    <xf numFmtId="9" fontId="22" fillId="2" borderId="4" xfId="3" applyFont="1" applyFill="1" applyBorder="1" applyAlignment="1" applyProtection="1">
      <alignment horizontal="center" vertical="center" wrapText="1"/>
      <protection locked="0"/>
    </xf>
    <xf numFmtId="9" fontId="22" fillId="2" borderId="8" xfId="3" applyFont="1" applyFill="1" applyBorder="1" applyAlignment="1" applyProtection="1">
      <alignment horizontal="center" vertical="center" wrapText="1"/>
      <protection locked="0"/>
    </xf>
    <xf numFmtId="9" fontId="23" fillId="0" borderId="4" xfId="3" applyFont="1" applyFill="1" applyBorder="1" applyAlignment="1" applyProtection="1">
      <alignment horizontal="justify" vertical="center" wrapText="1"/>
      <protection locked="0"/>
    </xf>
    <xf numFmtId="9" fontId="23" fillId="0" borderId="8" xfId="3" applyFont="1" applyFill="1" applyBorder="1" applyAlignment="1" applyProtection="1">
      <alignment horizontal="justify" vertical="center" wrapText="1"/>
      <protection locked="0"/>
    </xf>
    <xf numFmtId="9" fontId="22" fillId="0" borderId="4" xfId="3" applyFont="1" applyFill="1" applyBorder="1" applyAlignment="1" applyProtection="1">
      <alignment horizontal="center" vertical="center" wrapText="1"/>
      <protection locked="0"/>
    </xf>
    <xf numFmtId="9" fontId="22" fillId="0" borderId="8" xfId="3" applyFont="1" applyFill="1" applyBorder="1" applyAlignment="1" applyProtection="1">
      <alignment horizontal="center" vertical="center" wrapText="1"/>
      <protection locked="0"/>
    </xf>
    <xf numFmtId="9" fontId="23" fillId="0" borderId="4" xfId="3" applyFont="1" applyFill="1" applyBorder="1" applyAlignment="1" applyProtection="1">
      <alignment horizontal="center" vertical="center" wrapText="1"/>
      <protection locked="0"/>
    </xf>
    <xf numFmtId="9" fontId="23" fillId="0" borderId="8" xfId="3" applyFont="1" applyFill="1" applyBorder="1" applyAlignment="1" applyProtection="1">
      <alignment horizontal="center" vertical="center" wrapText="1"/>
      <protection locked="0"/>
    </xf>
    <xf numFmtId="9" fontId="23" fillId="0" borderId="4" xfId="3" applyNumberFormat="1" applyFont="1" applyFill="1" applyBorder="1" applyAlignment="1" applyProtection="1">
      <alignment horizontal="justify" vertical="center" wrapText="1"/>
      <protection locked="0"/>
    </xf>
    <xf numFmtId="9" fontId="23" fillId="0" borderId="8" xfId="3" applyNumberFormat="1" applyFont="1" applyFill="1" applyBorder="1" applyAlignment="1" applyProtection="1">
      <alignment horizontal="justify" vertical="center" wrapText="1"/>
      <protection locked="0"/>
    </xf>
    <xf numFmtId="1" fontId="28" fillId="0" borderId="4" xfId="3" applyNumberFormat="1" applyFont="1" applyFill="1" applyBorder="1" applyAlignment="1" applyProtection="1">
      <alignment horizontal="justify" vertical="center" wrapText="1"/>
      <protection locked="0"/>
    </xf>
    <xf numFmtId="1" fontId="28" fillId="0" borderId="8" xfId="3" applyNumberFormat="1" applyFont="1" applyFill="1" applyBorder="1" applyAlignment="1" applyProtection="1">
      <alignment horizontal="justify" vertical="center" wrapText="1"/>
      <protection locked="0"/>
    </xf>
    <xf numFmtId="0" fontId="8" fillId="6" borderId="8" xfId="0" applyFont="1" applyFill="1" applyBorder="1" applyAlignment="1" applyProtection="1">
      <alignment horizontal="center" vertical="center" wrapText="1"/>
    </xf>
    <xf numFmtId="0" fontId="17" fillId="6" borderId="23" xfId="0" applyFont="1" applyFill="1" applyBorder="1" applyAlignment="1" applyProtection="1">
      <alignment horizontal="center" vertical="center" wrapText="1"/>
    </xf>
    <xf numFmtId="0" fontId="8" fillId="6" borderId="5" xfId="0" applyFont="1" applyFill="1" applyBorder="1" applyAlignment="1" applyProtection="1">
      <alignment horizontal="center" vertical="center" wrapText="1"/>
    </xf>
    <xf numFmtId="0" fontId="8" fillId="6" borderId="21" xfId="0" applyFont="1" applyFill="1" applyBorder="1" applyAlignment="1" applyProtection="1">
      <alignment horizontal="center" vertical="center" wrapText="1"/>
    </xf>
    <xf numFmtId="0" fontId="29" fillId="6" borderId="4" xfId="0" applyFont="1" applyFill="1" applyBorder="1" applyAlignment="1" applyProtection="1">
      <alignment horizontal="center" vertical="center" wrapText="1"/>
    </xf>
    <xf numFmtId="0" fontId="29" fillId="6" borderId="8" xfId="0" applyFont="1" applyFill="1" applyBorder="1" applyAlignment="1" applyProtection="1">
      <alignment horizontal="center" vertical="center" wrapText="1"/>
    </xf>
    <xf numFmtId="0" fontId="29" fillId="6" borderId="23"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textRotation="90" wrapText="1"/>
    </xf>
    <xf numFmtId="0" fontId="5" fillId="2" borderId="20" xfId="0" applyFont="1" applyFill="1" applyBorder="1" applyAlignment="1" applyProtection="1">
      <alignment horizontal="center" vertical="center" textRotation="90" wrapText="1"/>
    </xf>
    <xf numFmtId="0" fontId="5" fillId="2" borderId="17" xfId="0" applyFont="1" applyFill="1" applyBorder="1" applyAlignment="1" applyProtection="1">
      <alignment horizontal="center" vertical="center" wrapText="1"/>
    </xf>
    <xf numFmtId="0" fontId="5" fillId="2" borderId="19"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textRotation="90" wrapText="1"/>
    </xf>
    <xf numFmtId="0" fontId="5" fillId="2" borderId="18" xfId="0" applyFont="1" applyFill="1" applyBorder="1" applyAlignment="1" applyProtection="1">
      <alignment horizontal="center" vertical="center" wrapText="1"/>
    </xf>
    <xf numFmtId="9" fontId="26" fillId="0" borderId="4" xfId="0" applyNumberFormat="1" applyFont="1" applyFill="1" applyBorder="1" applyAlignment="1" applyProtection="1">
      <alignment horizontal="center" vertical="center" wrapText="1"/>
    </xf>
    <xf numFmtId="9" fontId="26" fillId="0" borderId="10" xfId="0" applyNumberFormat="1" applyFont="1" applyFill="1" applyBorder="1" applyAlignment="1" applyProtection="1">
      <alignment horizontal="center" vertical="center" wrapText="1"/>
    </xf>
    <xf numFmtId="9" fontId="26" fillId="0" borderId="8" xfId="0" applyNumberFormat="1" applyFont="1" applyFill="1" applyBorder="1" applyAlignment="1" applyProtection="1">
      <alignment horizontal="center" vertical="center" wrapText="1"/>
    </xf>
    <xf numFmtId="0" fontId="25" fillId="2" borderId="0" xfId="0" applyFont="1" applyFill="1" applyAlignment="1" applyProtection="1">
      <alignment horizontal="center" vertical="center" wrapText="1"/>
    </xf>
    <xf numFmtId="0" fontId="4" fillId="2" borderId="0" xfId="0" applyFont="1" applyFill="1" applyBorder="1" applyAlignment="1" applyProtection="1">
      <alignment horizontal="center" vertical="center" wrapText="1"/>
    </xf>
    <xf numFmtId="0" fontId="12" fillId="2" borderId="4" xfId="0" applyFont="1" applyFill="1" applyBorder="1" applyAlignment="1" applyProtection="1">
      <alignment horizontal="center" vertical="center" wrapText="1"/>
    </xf>
    <xf numFmtId="0" fontId="12" fillId="2" borderId="10" xfId="0" applyFont="1" applyFill="1" applyBorder="1" applyAlignment="1" applyProtection="1">
      <alignment horizontal="center" vertical="center" wrapText="1"/>
    </xf>
    <xf numFmtId="0" fontId="12" fillId="2" borderId="8" xfId="0" applyFont="1" applyFill="1" applyBorder="1" applyAlignment="1" applyProtection="1">
      <alignment horizontal="center" vertical="center" wrapText="1"/>
    </xf>
    <xf numFmtId="0" fontId="23" fillId="2" borderId="10" xfId="0" applyFont="1" applyFill="1" applyBorder="1" applyAlignment="1" applyProtection="1">
      <alignment horizontal="justify" vertical="center" wrapText="1"/>
    </xf>
    <xf numFmtId="9" fontId="41" fillId="2" borderId="4" xfId="0" applyNumberFormat="1" applyFont="1" applyFill="1" applyBorder="1" applyAlignment="1" applyProtection="1">
      <alignment horizontal="center" vertical="center" wrapText="1"/>
    </xf>
    <xf numFmtId="9" fontId="41" fillId="2" borderId="10" xfId="0" applyNumberFormat="1" applyFont="1" applyFill="1" applyBorder="1" applyAlignment="1" applyProtection="1">
      <alignment horizontal="center" vertical="center" wrapText="1"/>
    </xf>
    <xf numFmtId="9" fontId="41" fillId="2" borderId="8" xfId="0" applyNumberFormat="1" applyFont="1" applyFill="1" applyBorder="1" applyAlignment="1" applyProtection="1">
      <alignment horizontal="center" vertical="center" wrapText="1"/>
    </xf>
    <xf numFmtId="9" fontId="53" fillId="2" borderId="5" xfId="0" applyNumberFormat="1" applyFont="1" applyFill="1" applyBorder="1" applyAlignment="1" applyProtection="1">
      <alignment horizontal="center" vertical="center" wrapText="1"/>
    </xf>
    <xf numFmtId="9" fontId="53" fillId="2" borderId="7" xfId="0" applyNumberFormat="1" applyFont="1" applyFill="1" applyBorder="1" applyAlignment="1" applyProtection="1">
      <alignment horizontal="center" vertical="center" wrapText="1"/>
    </xf>
    <xf numFmtId="9" fontId="53" fillId="2" borderId="6" xfId="0" applyNumberFormat="1" applyFont="1" applyFill="1" applyBorder="1" applyAlignment="1" applyProtection="1">
      <alignment horizontal="center" vertical="center" wrapText="1"/>
    </xf>
    <xf numFmtId="9" fontId="53" fillId="2" borderId="12" xfId="0" applyNumberFormat="1" applyFont="1" applyFill="1" applyBorder="1" applyAlignment="1" applyProtection="1">
      <alignment horizontal="center" vertical="center" wrapText="1"/>
    </xf>
    <xf numFmtId="9" fontId="53" fillId="2" borderId="0" xfId="0" applyNumberFormat="1" applyFont="1" applyFill="1" applyBorder="1" applyAlignment="1" applyProtection="1">
      <alignment horizontal="center" vertical="center" wrapText="1"/>
    </xf>
    <xf numFmtId="9" fontId="53" fillId="2" borderId="11" xfId="0" applyNumberFormat="1" applyFont="1" applyFill="1" applyBorder="1" applyAlignment="1" applyProtection="1">
      <alignment horizontal="center" vertical="center" wrapText="1"/>
    </xf>
    <xf numFmtId="9" fontId="53" fillId="2" borderId="21" xfId="0" applyNumberFormat="1" applyFont="1" applyFill="1" applyBorder="1" applyAlignment="1" applyProtection="1">
      <alignment horizontal="center" vertical="center" wrapText="1"/>
    </xf>
    <xf numFmtId="9" fontId="53" fillId="2" borderId="22" xfId="0" applyNumberFormat="1" applyFont="1" applyFill="1" applyBorder="1" applyAlignment="1" applyProtection="1">
      <alignment horizontal="center" vertical="center" wrapText="1"/>
    </xf>
    <xf numFmtId="9" fontId="53" fillId="2" borderId="23" xfId="0" applyNumberFormat="1" applyFont="1" applyFill="1" applyBorder="1" applyAlignment="1" applyProtection="1">
      <alignment horizontal="center" vertical="center" wrapText="1"/>
    </xf>
    <xf numFmtId="9" fontId="48" fillId="0" borderId="4" xfId="0" applyNumberFormat="1" applyFont="1" applyFill="1" applyBorder="1" applyAlignment="1" applyProtection="1">
      <alignment horizontal="justify" vertical="center" wrapText="1"/>
    </xf>
    <xf numFmtId="9" fontId="48" fillId="0" borderId="8" xfId="0" applyNumberFormat="1" applyFont="1" applyFill="1" applyBorder="1" applyAlignment="1" applyProtection="1">
      <alignment horizontal="justify" vertical="center" wrapText="1"/>
    </xf>
    <xf numFmtId="9" fontId="49" fillId="0" borderId="4" xfId="0" applyNumberFormat="1" applyFont="1" applyFill="1" applyBorder="1" applyAlignment="1" applyProtection="1">
      <alignment horizontal="center" vertical="center" wrapText="1"/>
    </xf>
    <xf numFmtId="9" fontId="49" fillId="0" borderId="8" xfId="0" applyNumberFormat="1" applyFont="1" applyFill="1" applyBorder="1" applyAlignment="1" applyProtection="1">
      <alignment horizontal="center" vertical="center" wrapText="1"/>
    </xf>
    <xf numFmtId="9" fontId="48" fillId="0" borderId="4" xfId="0" applyNumberFormat="1" applyFont="1" applyFill="1" applyBorder="1" applyAlignment="1" applyProtection="1">
      <alignment horizontal="center" vertical="center" wrapText="1"/>
    </xf>
    <xf numFmtId="9" fontId="48" fillId="0" borderId="8" xfId="0" applyNumberFormat="1" applyFont="1" applyFill="1" applyBorder="1" applyAlignment="1" applyProtection="1">
      <alignment horizontal="center" vertical="center" wrapText="1"/>
    </xf>
    <xf numFmtId="37" fontId="5" fillId="2" borderId="17" xfId="2" applyNumberFormat="1" applyFont="1" applyFill="1" applyBorder="1" applyAlignment="1" applyProtection="1">
      <alignment horizontal="center" vertical="center" wrapText="1"/>
    </xf>
    <xf numFmtId="37" fontId="5" fillId="2" borderId="18" xfId="2" applyNumberFormat="1" applyFont="1" applyFill="1" applyBorder="1" applyAlignment="1" applyProtection="1">
      <alignment horizontal="center" vertical="center" wrapText="1"/>
    </xf>
    <xf numFmtId="37" fontId="5" fillId="2" borderId="19" xfId="2" applyNumberFormat="1" applyFont="1" applyFill="1" applyBorder="1" applyAlignment="1" applyProtection="1">
      <alignment horizontal="center" vertical="center" wrapText="1"/>
    </xf>
    <xf numFmtId="10" fontId="5" fillId="2" borderId="14" xfId="0" applyNumberFormat="1" applyFont="1" applyFill="1" applyBorder="1" applyAlignment="1" applyProtection="1">
      <alignment horizontal="center" vertical="center" textRotation="90" wrapText="1"/>
    </xf>
    <xf numFmtId="10" fontId="5" fillId="2" borderId="16" xfId="0" applyNumberFormat="1" applyFont="1" applyFill="1" applyBorder="1" applyAlignment="1" applyProtection="1">
      <alignment horizontal="center" vertical="center" textRotation="90" wrapText="1"/>
    </xf>
    <xf numFmtId="9" fontId="23" fillId="2" borderId="4" xfId="0" applyNumberFormat="1" applyFont="1" applyFill="1" applyBorder="1" applyAlignment="1" applyProtection="1">
      <alignment horizontal="justify" vertical="center" wrapText="1"/>
    </xf>
    <xf numFmtId="9" fontId="23" fillId="2" borderId="8" xfId="0" applyNumberFormat="1" applyFont="1" applyFill="1" applyBorder="1" applyAlignment="1" applyProtection="1">
      <alignment horizontal="justify" vertical="center" wrapText="1"/>
    </xf>
    <xf numFmtId="9" fontId="23" fillId="2" borderId="4" xfId="0" applyNumberFormat="1" applyFont="1" applyFill="1" applyBorder="1" applyAlignment="1" applyProtection="1">
      <alignment horizontal="center" vertical="center" wrapText="1"/>
    </xf>
    <xf numFmtId="9" fontId="23" fillId="2" borderId="8" xfId="0" applyNumberFormat="1" applyFont="1" applyFill="1" applyBorder="1" applyAlignment="1" applyProtection="1">
      <alignment horizontal="center" vertical="center" wrapText="1"/>
    </xf>
    <xf numFmtId="165" fontId="23" fillId="2" borderId="4" xfId="0" applyNumberFormat="1" applyFont="1" applyFill="1" applyBorder="1" applyAlignment="1" applyProtection="1">
      <alignment horizontal="center" vertical="center" wrapText="1"/>
    </xf>
    <xf numFmtId="165" fontId="23" fillId="2" borderId="8" xfId="0" applyNumberFormat="1" applyFont="1" applyFill="1" applyBorder="1" applyAlignment="1" applyProtection="1">
      <alignment horizontal="center" vertical="center" wrapText="1"/>
    </xf>
    <xf numFmtId="10" fontId="23" fillId="2" borderId="4" xfId="0" applyNumberFormat="1" applyFont="1" applyFill="1" applyBorder="1" applyAlignment="1" applyProtection="1">
      <alignment horizontal="center" vertical="center" wrapText="1"/>
    </xf>
    <xf numFmtId="10" fontId="23" fillId="2" borderId="8" xfId="0" applyNumberFormat="1" applyFont="1" applyFill="1" applyBorder="1" applyAlignment="1" applyProtection="1">
      <alignment horizontal="center" vertical="center" wrapText="1"/>
    </xf>
    <xf numFmtId="167" fontId="23" fillId="2" borderId="4" xfId="0" applyNumberFormat="1" applyFont="1" applyFill="1" applyBorder="1" applyAlignment="1" applyProtection="1">
      <alignment horizontal="center" vertical="center" wrapText="1"/>
    </xf>
    <xf numFmtId="9" fontId="26" fillId="2" borderId="4" xfId="0" applyNumberFormat="1" applyFont="1" applyFill="1" applyBorder="1" applyAlignment="1" applyProtection="1">
      <alignment horizontal="center" vertical="center" wrapText="1"/>
    </xf>
    <xf numFmtId="9" fontId="26" fillId="2" borderId="10" xfId="0" applyNumberFormat="1" applyFont="1" applyFill="1" applyBorder="1" applyAlignment="1" applyProtection="1">
      <alignment horizontal="center" vertical="center" wrapText="1"/>
    </xf>
    <xf numFmtId="9" fontId="26" fillId="2" borderId="8" xfId="0" applyNumberFormat="1" applyFont="1" applyFill="1" applyBorder="1" applyAlignment="1" applyProtection="1">
      <alignment horizontal="center" vertical="center" wrapText="1"/>
    </xf>
    <xf numFmtId="10" fontId="23" fillId="0" borderId="4" xfId="1" applyNumberFormat="1" applyFont="1" applyFill="1" applyBorder="1" applyAlignment="1" applyProtection="1">
      <alignment horizontal="center" vertical="center" wrapText="1"/>
    </xf>
    <xf numFmtId="10" fontId="23" fillId="0" borderId="8" xfId="1" applyNumberFormat="1" applyFont="1" applyFill="1" applyBorder="1" applyAlignment="1" applyProtection="1">
      <alignment horizontal="center" vertical="center" wrapText="1"/>
    </xf>
    <xf numFmtId="9" fontId="23" fillId="0" borderId="10" xfId="0" applyNumberFormat="1" applyFont="1" applyFill="1" applyBorder="1" applyAlignment="1" applyProtection="1">
      <alignment horizontal="left" vertical="center" wrapText="1"/>
    </xf>
    <xf numFmtId="10" fontId="23" fillId="0" borderId="4" xfId="0" applyNumberFormat="1" applyFont="1" applyFill="1" applyBorder="1" applyAlignment="1" applyProtection="1">
      <alignment horizontal="center" vertical="center" wrapText="1"/>
    </xf>
    <xf numFmtId="10" fontId="23" fillId="0" borderId="8" xfId="0" applyNumberFormat="1" applyFont="1" applyFill="1" applyBorder="1" applyAlignment="1" applyProtection="1">
      <alignment horizontal="center" vertical="center" wrapText="1"/>
    </xf>
    <xf numFmtId="9" fontId="22" fillId="0" borderId="10" xfId="3" applyFont="1" applyFill="1" applyBorder="1" applyAlignment="1" applyProtection="1">
      <alignment horizontal="center" vertical="center" wrapText="1"/>
    </xf>
    <xf numFmtId="9" fontId="23" fillId="0" borderId="10" xfId="3" applyFont="1" applyFill="1" applyBorder="1" applyAlignment="1" applyProtection="1">
      <alignment horizontal="justify" vertical="center" wrapText="1"/>
    </xf>
    <xf numFmtId="9" fontId="23" fillId="0" borderId="10" xfId="3" applyFont="1" applyFill="1" applyBorder="1" applyAlignment="1" applyProtection="1">
      <alignment horizontal="center" vertical="center" wrapText="1"/>
    </xf>
    <xf numFmtId="1" fontId="23" fillId="0" borderId="4" xfId="3" applyNumberFormat="1" applyFont="1" applyFill="1" applyBorder="1" applyAlignment="1" applyProtection="1">
      <alignment horizontal="center" vertical="center" wrapText="1"/>
    </xf>
    <xf numFmtId="1" fontId="23" fillId="0" borderId="8" xfId="3" applyNumberFormat="1" applyFont="1" applyFill="1" applyBorder="1" applyAlignment="1" applyProtection="1">
      <alignment horizontal="center" vertical="center" wrapText="1"/>
    </xf>
    <xf numFmtId="9" fontId="26" fillId="2" borderId="4" xfId="3" applyFont="1" applyFill="1" applyBorder="1" applyAlignment="1" applyProtection="1">
      <alignment horizontal="center" vertical="center" wrapText="1"/>
    </xf>
    <xf numFmtId="9" fontId="26" fillId="2" borderId="8" xfId="3" applyFont="1" applyFill="1" applyBorder="1" applyAlignment="1" applyProtection="1">
      <alignment horizontal="center" vertical="center" wrapText="1"/>
    </xf>
    <xf numFmtId="9" fontId="22" fillId="2" borderId="10" xfId="3" applyFont="1" applyFill="1" applyBorder="1" applyAlignment="1" applyProtection="1">
      <alignment horizontal="center" vertical="center" wrapText="1"/>
    </xf>
    <xf numFmtId="9" fontId="23" fillId="0" borderId="10" xfId="3" applyNumberFormat="1" applyFont="1" applyFill="1" applyBorder="1" applyAlignment="1" applyProtection="1">
      <alignment horizontal="justify" vertical="center" wrapText="1"/>
    </xf>
    <xf numFmtId="0" fontId="21" fillId="0" borderId="0" xfId="5" applyFont="1" applyAlignment="1">
      <alignment horizontal="center"/>
    </xf>
    <xf numFmtId="0" fontId="34" fillId="2" borderId="0" xfId="5" applyFont="1" applyFill="1" applyAlignment="1">
      <alignment horizontal="left" wrapText="1"/>
    </xf>
  </cellXfs>
  <cellStyles count="6">
    <cellStyle name="Millares 2" xfId="2"/>
    <cellStyle name="Moneda" xfId="4" builtinId="4"/>
    <cellStyle name="Normal" xfId="0" builtinId="0"/>
    <cellStyle name="Normal 3" xfId="5"/>
    <cellStyle name="Porcentaje" xfId="1" builtinId="5"/>
    <cellStyle name="Porcentual 2" xfId="3"/>
  </cellStyles>
  <dxfs count="99">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s>
  <tableStyles count="0" defaultTableStyle="TableStyleMedium2" defaultPivotStyle="PivotStyleLight16"/>
  <colors>
    <mruColors>
      <color rgb="FF66CCFF"/>
      <color rgb="FFFF9966"/>
      <color rgb="FF548FEE"/>
      <color rgb="FF518F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00" b="1" i="0" u="none" strike="noStrike" kern="1200" spc="0" baseline="0">
                <a:solidFill>
                  <a:sysClr val="windowText" lastClr="000000"/>
                </a:solidFill>
                <a:latin typeface="+mn-lt"/>
                <a:ea typeface="+mn-ea"/>
                <a:cs typeface="+mn-cs"/>
              </a:defRPr>
            </a:pPr>
            <a:r>
              <a:rPr lang="es-SV" sz="1300" b="1"/>
              <a:t>% Promedio de cumplimiento de objetivos programados en</a:t>
            </a:r>
            <a:r>
              <a:rPr lang="es-SV" sz="1300" b="1" baseline="0"/>
              <a:t> el</a:t>
            </a:r>
            <a:r>
              <a:rPr lang="es-SV" sz="1300" b="1"/>
              <a:t> POA por unidad organizativa de septiembre -diciembre  </a:t>
            </a:r>
            <a:r>
              <a:rPr lang="es-SV" sz="1300" b="1" baseline="0"/>
              <a:t>de </a:t>
            </a:r>
            <a:r>
              <a:rPr lang="es-SV" sz="1300" b="1"/>
              <a:t>2018</a:t>
            </a:r>
          </a:p>
        </c:rich>
      </c:tx>
      <c:layout>
        <c:manualLayout>
          <c:xMode val="edge"/>
          <c:yMode val="edge"/>
          <c:x val="0.14761651668541431"/>
          <c:y val="2.247701665393937E-2"/>
        </c:manualLayout>
      </c:layout>
      <c:overlay val="0"/>
      <c:spPr>
        <a:noFill/>
        <a:ln>
          <a:noFill/>
        </a:ln>
        <a:effectLst/>
      </c:spPr>
      <c:txPr>
        <a:bodyPr rot="0" spcFirstLastPara="1" vertOverflow="ellipsis" vert="horz" wrap="square" anchor="ctr" anchorCtr="1"/>
        <a:lstStyle/>
        <a:p>
          <a:pPr>
            <a:defRPr sz="1300" b="1" i="0" u="none" strike="noStrike" kern="1200" spc="0" baseline="0">
              <a:solidFill>
                <a:sysClr val="windowText" lastClr="000000"/>
              </a:solidFill>
              <a:latin typeface="+mn-lt"/>
              <a:ea typeface="+mn-ea"/>
              <a:cs typeface="+mn-cs"/>
            </a:defRPr>
          </a:pPr>
          <a:endParaRPr lang="es-SV"/>
        </a:p>
      </c:txPr>
    </c:title>
    <c:autoTitleDeleted val="0"/>
    <c:plotArea>
      <c:layout>
        <c:manualLayout>
          <c:layoutTarget val="inner"/>
          <c:xMode val="edge"/>
          <c:yMode val="edge"/>
          <c:x val="6.6570175887767355E-2"/>
          <c:y val="9.4308333214476681E-2"/>
          <c:w val="0.92136445444319448"/>
          <c:h val="0.78082354950213195"/>
        </c:manualLayout>
      </c:layout>
      <c:barChart>
        <c:barDir val="col"/>
        <c:grouping val="clustered"/>
        <c:varyColors val="0"/>
        <c:ser>
          <c:idx val="0"/>
          <c:order val="0"/>
          <c:spPr>
            <a:solidFill>
              <a:srgbClr val="00B050"/>
            </a:solidFill>
            <a:ln w="15875">
              <a:solidFill>
                <a:schemeClr val="tx1"/>
              </a:solidFill>
            </a:ln>
            <a:effectLst/>
          </c:spPr>
          <c:invertIfNegative val="0"/>
          <c:dPt>
            <c:idx val="0"/>
            <c:invertIfNegative val="0"/>
            <c:bubble3D val="0"/>
            <c:spPr>
              <a:solidFill>
                <a:srgbClr val="FF0000"/>
              </a:solidFill>
              <a:ln w="15875">
                <a:solidFill>
                  <a:schemeClr val="tx1"/>
                </a:solidFill>
              </a:ln>
              <a:effectLst/>
            </c:spPr>
          </c:dPt>
          <c:dPt>
            <c:idx val="1"/>
            <c:invertIfNegative val="0"/>
            <c:bubble3D val="0"/>
            <c:spPr>
              <a:solidFill>
                <a:srgbClr val="FFC000"/>
              </a:solidFill>
              <a:ln w="15875">
                <a:solidFill>
                  <a:schemeClr val="tx1"/>
                </a:solidFill>
              </a:ln>
              <a:effectLst/>
            </c:spPr>
          </c:dPt>
          <c:dPt>
            <c:idx val="2"/>
            <c:invertIfNegative val="0"/>
            <c:bubble3D val="0"/>
            <c:spPr>
              <a:solidFill>
                <a:srgbClr val="00B050"/>
              </a:solidFill>
              <a:ln w="15875">
                <a:solidFill>
                  <a:schemeClr val="tx1"/>
                </a:solidFill>
              </a:ln>
              <a:effectLst/>
            </c:spPr>
          </c:dPt>
          <c:dPt>
            <c:idx val="3"/>
            <c:invertIfNegative val="0"/>
            <c:bubble3D val="0"/>
            <c:spPr>
              <a:solidFill>
                <a:srgbClr val="FFC000"/>
              </a:solidFill>
              <a:ln w="15875">
                <a:solidFill>
                  <a:schemeClr val="tx1"/>
                </a:solidFill>
              </a:ln>
              <a:effectLst/>
            </c:spPr>
          </c:dPt>
          <c:dPt>
            <c:idx val="4"/>
            <c:invertIfNegative val="0"/>
            <c:bubble3D val="0"/>
            <c:spPr>
              <a:solidFill>
                <a:srgbClr val="00B050"/>
              </a:solidFill>
              <a:ln w="15875">
                <a:solidFill>
                  <a:schemeClr val="tx1"/>
                </a:solidFill>
              </a:ln>
              <a:effectLst/>
            </c:spPr>
          </c:dPt>
          <c:dPt>
            <c:idx val="6"/>
            <c:invertIfNegative val="0"/>
            <c:bubble3D val="0"/>
            <c:spPr>
              <a:solidFill>
                <a:srgbClr val="00B050"/>
              </a:solidFill>
              <a:ln w="15875">
                <a:solidFill>
                  <a:schemeClr val="tx1"/>
                </a:solidFill>
              </a:ln>
              <a:effectLst/>
            </c:spPr>
          </c:dPt>
          <c:dPt>
            <c:idx val="7"/>
            <c:invertIfNegative val="0"/>
            <c:bubble3D val="0"/>
            <c:spPr>
              <a:solidFill>
                <a:srgbClr val="FFC000"/>
              </a:solidFill>
              <a:ln w="15875">
                <a:solidFill>
                  <a:schemeClr val="tx1"/>
                </a:solidFill>
              </a:ln>
              <a:effectLst/>
            </c:spPr>
          </c:dPt>
          <c:dPt>
            <c:idx val="8"/>
            <c:invertIfNegative val="0"/>
            <c:bubble3D val="0"/>
            <c:spPr>
              <a:solidFill>
                <a:srgbClr val="00B050"/>
              </a:solidFill>
              <a:ln w="15875">
                <a:solidFill>
                  <a:schemeClr val="tx1"/>
                </a:solidFill>
              </a:ln>
              <a:effectLst/>
            </c:spPr>
          </c:dPt>
          <c:dLbls>
            <c:dLbl>
              <c:idx val="0"/>
              <c:layout>
                <c:manualLayout>
                  <c:x val="4.7619047619047727E-3"/>
                  <c:y val="4.0388780804275449E-3"/>
                </c:manualLayout>
              </c:layout>
              <c:dLblPos val="outEnd"/>
              <c:showLegendKey val="0"/>
              <c:showVal val="1"/>
              <c:showCatName val="0"/>
              <c:showSerName val="0"/>
              <c:showPercent val="0"/>
              <c:showBubbleSize val="0"/>
              <c:extLst>
                <c:ext xmlns:c15="http://schemas.microsoft.com/office/drawing/2012/chart" uri="{CE6537A1-D6FC-4f65-9D91-7224C49458BB}"/>
              </c:extLst>
            </c:dLbl>
            <c:dLbl>
              <c:idx val="1"/>
              <c:layout>
                <c:manualLayout>
                  <c:x val="-2.1825144699462845E-17"/>
                  <c:y val="-8.5673171403008528E-4"/>
                </c:manualLayout>
              </c:layout>
              <c:dLblPos val="outEnd"/>
              <c:showLegendKey val="0"/>
              <c:showVal val="1"/>
              <c:showCatName val="0"/>
              <c:showSerName val="0"/>
              <c:showPercent val="0"/>
              <c:showBubbleSize val="0"/>
              <c:extLst>
                <c:ext xmlns:c15="http://schemas.microsoft.com/office/drawing/2012/chart" uri="{CE6537A1-D6FC-4f65-9D91-7224C49458BB}"/>
              </c:extLst>
            </c:dLbl>
            <c:dLbl>
              <c:idx val="3"/>
              <c:layout>
                <c:manualLayout>
                  <c:x val="0"/>
                  <c:y val="4.0388780804275449E-3"/>
                </c:manualLayout>
              </c:layout>
              <c:dLblPos val="outEnd"/>
              <c:showLegendKey val="0"/>
              <c:showVal val="1"/>
              <c:showCatName val="0"/>
              <c:showSerName val="0"/>
              <c:showPercent val="0"/>
              <c:showBubbleSize val="0"/>
              <c:extLst>
                <c:ext xmlns:c15="http://schemas.microsoft.com/office/drawing/2012/chart" uri="{CE6537A1-D6FC-4f65-9D91-7224C49458BB}"/>
              </c:extLst>
            </c:dLbl>
            <c:dLbl>
              <c:idx val="5"/>
              <c:layout>
                <c:manualLayout>
                  <c:x val="-1.1904761904761906E-3"/>
                  <c:y val="-8.5673171403008528E-4"/>
                </c:manualLayout>
              </c:layout>
              <c:dLblPos val="outEnd"/>
              <c:showLegendKey val="0"/>
              <c:showVal val="1"/>
              <c:showCatName val="0"/>
              <c:showSerName val="0"/>
              <c:showPercent val="0"/>
              <c:showBubbleSize val="0"/>
              <c:extLst>
                <c:ext xmlns:c15="http://schemas.microsoft.com/office/drawing/2012/chart" uri="{CE6537A1-D6FC-4f65-9D91-7224C49458BB}"/>
              </c:extLst>
            </c:dLbl>
            <c:dLbl>
              <c:idx val="6"/>
              <c:layout>
                <c:manualLayout>
                  <c:x val="1.1911323584551058E-3"/>
                  <c:y val="3.316101043844233E-3"/>
                </c:manualLayout>
              </c:layout>
              <c:dLblPos val="outEnd"/>
              <c:showLegendKey val="0"/>
              <c:showVal val="1"/>
              <c:showCatName val="0"/>
              <c:showSerName val="0"/>
              <c:showPercent val="0"/>
              <c:showBubbleSize val="0"/>
              <c:extLst>
                <c:ext xmlns:c15="http://schemas.microsoft.com/office/drawing/2012/chart" uri="{CE6537A1-D6FC-4f65-9D91-7224C49458BB}"/>
              </c:extLst>
            </c:dLbl>
            <c:dLbl>
              <c:idx val="7"/>
              <c:layout>
                <c:manualLayout>
                  <c:x val="1.1904761904761032E-3"/>
                  <c:y val="-8.5673171403008528E-4"/>
                </c:manualLayout>
              </c:layout>
              <c:dLblPos val="outEnd"/>
              <c:showLegendKey val="0"/>
              <c:showVal val="1"/>
              <c:showCatName val="0"/>
              <c:showSerName val="0"/>
              <c:showPercent val="0"/>
              <c:showBubbleSize val="0"/>
              <c:extLst>
                <c:ext xmlns:c15="http://schemas.microsoft.com/office/drawing/2012/chart" uri="{CE6537A1-D6FC-4f65-9D91-7224C49458BB}"/>
              </c:extLst>
            </c:dLbl>
            <c:dLbl>
              <c:idx val="8"/>
              <c:layout>
                <c:manualLayout>
                  <c:x val="-1.1904761904763651E-3"/>
                  <c:y val="1.5910731831987074E-3"/>
                </c:manualLayout>
              </c:layout>
              <c:dLblPos val="outEnd"/>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es-SV"/>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'promedio trimestre sept.dic'!$D$5:$D$13</c:f>
              <c:strCache>
                <c:ptCount val="9"/>
                <c:pt idx="0">
                  <c:v>Auditoria Interna</c:v>
                </c:pt>
                <c:pt idx="1">
                  <c:v>UTL</c:v>
                </c:pt>
                <c:pt idx="2">
                  <c:v>UAIP</c:v>
                </c:pt>
                <c:pt idx="3">
                  <c:v>UACI</c:v>
                </c:pt>
                <c:pt idx="4">
                  <c:v>Depto. de Informática</c:v>
                </c:pt>
                <c:pt idx="5">
                  <c:v>GDI</c:v>
                </c:pt>
                <c:pt idx="6">
                  <c:v>UFI</c:v>
                </c:pt>
                <c:pt idx="7">
                  <c:v>Gerencia Comercial</c:v>
                </c:pt>
                <c:pt idx="8">
                  <c:v>Gerencia Administrativa</c:v>
                </c:pt>
              </c:strCache>
            </c:strRef>
          </c:cat>
          <c:val>
            <c:numRef>
              <c:f>'promedio trimestre sept.dic'!$G$5:$G$13</c:f>
              <c:numCache>
                <c:formatCode>0.00%</c:formatCode>
                <c:ptCount val="9"/>
                <c:pt idx="0">
                  <c:v>0.42269076305220876</c:v>
                </c:pt>
                <c:pt idx="1">
                  <c:v>0</c:v>
                </c:pt>
                <c:pt idx="2">
                  <c:v>0</c:v>
                </c:pt>
                <c:pt idx="3">
                  <c:v>0</c:v>
                </c:pt>
                <c:pt idx="4">
                  <c:v>1</c:v>
                </c:pt>
                <c:pt idx="5">
                  <c:v>0.86801134884222075</c:v>
                </c:pt>
                <c:pt idx="6">
                  <c:v>1</c:v>
                </c:pt>
                <c:pt idx="7">
                  <c:v>0</c:v>
                </c:pt>
                <c:pt idx="8">
                  <c:v>1</c:v>
                </c:pt>
              </c:numCache>
            </c:numRef>
          </c:val>
        </c:ser>
        <c:dLbls>
          <c:showLegendKey val="0"/>
          <c:showVal val="0"/>
          <c:showCatName val="0"/>
          <c:showSerName val="0"/>
          <c:showPercent val="0"/>
          <c:showBubbleSize val="0"/>
        </c:dLbls>
        <c:gapWidth val="14"/>
        <c:overlap val="40"/>
        <c:axId val="306103512"/>
        <c:axId val="306103904"/>
      </c:barChart>
      <c:catAx>
        <c:axId val="30610351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SV"/>
          </a:p>
        </c:txPr>
        <c:crossAx val="306103904"/>
        <c:crosses val="autoZero"/>
        <c:auto val="1"/>
        <c:lblAlgn val="ctr"/>
        <c:lblOffset val="100"/>
        <c:noMultiLvlLbl val="0"/>
      </c:catAx>
      <c:valAx>
        <c:axId val="306103904"/>
        <c:scaling>
          <c:orientation val="minMax"/>
          <c:max val="1.1000000000000001"/>
          <c:min val="0.1"/>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s-SV"/>
          </a:p>
        </c:txPr>
        <c:crossAx val="306103512"/>
        <c:crosses val="autoZero"/>
        <c:crossBetween val="between"/>
        <c:majorUnit val="0.1"/>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solidFill>
            <a:sysClr val="windowText" lastClr="000000"/>
          </a:solidFill>
        </a:defRPr>
      </a:pPr>
      <a:endParaRPr lang="es-S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142875</xdr:colOff>
      <xdr:row>1</xdr:row>
      <xdr:rowOff>166687</xdr:rowOff>
    </xdr:from>
    <xdr:to>
      <xdr:col>7</xdr:col>
      <xdr:colOff>238124</xdr:colOff>
      <xdr:row>4</xdr:row>
      <xdr:rowOff>40467</xdr:rowOff>
    </xdr:to>
    <xdr:pic>
      <xdr:nvPicPr>
        <xdr:cNvPr id="2" name="1 Imagen"/>
        <xdr:cNvPicPr>
          <a:picLocks noChangeAspect="1" noChangeArrowheads="1"/>
        </xdr:cNvPicPr>
      </xdr:nvPicPr>
      <xdr:blipFill>
        <a:blip xmlns:r="http://schemas.openxmlformats.org/officeDocument/2006/relationships" r:embed="rId1" cstate="print"/>
        <a:srcRect/>
        <a:stretch>
          <a:fillRect/>
        </a:stretch>
      </xdr:blipFill>
      <xdr:spPr bwMode="auto">
        <a:xfrm>
          <a:off x="466725" y="261937"/>
          <a:ext cx="3162299" cy="120728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0</xdr:colOff>
      <xdr:row>12</xdr:row>
      <xdr:rowOff>0</xdr:rowOff>
    </xdr:from>
    <xdr:to>
      <xdr:col>4</xdr:col>
      <xdr:colOff>24931</xdr:colOff>
      <xdr:row>17</xdr:row>
      <xdr:rowOff>110490</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0" y="2286000"/>
          <a:ext cx="2794635" cy="106299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142875</xdr:colOff>
      <xdr:row>1</xdr:row>
      <xdr:rowOff>166687</xdr:rowOff>
    </xdr:from>
    <xdr:to>
      <xdr:col>7</xdr:col>
      <xdr:colOff>238124</xdr:colOff>
      <xdr:row>4</xdr:row>
      <xdr:rowOff>40467</xdr:rowOff>
    </xdr:to>
    <xdr:pic>
      <xdr:nvPicPr>
        <xdr:cNvPr id="2" name="1 Imagen"/>
        <xdr:cNvPicPr>
          <a:picLocks noChangeAspect="1" noChangeArrowheads="1"/>
        </xdr:cNvPicPr>
      </xdr:nvPicPr>
      <xdr:blipFill>
        <a:blip xmlns:r="http://schemas.openxmlformats.org/officeDocument/2006/relationships" r:embed="rId1" cstate="print"/>
        <a:srcRect/>
        <a:stretch>
          <a:fillRect/>
        </a:stretch>
      </xdr:blipFill>
      <xdr:spPr bwMode="auto">
        <a:xfrm>
          <a:off x="466725" y="261937"/>
          <a:ext cx="3162299" cy="120728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142875</xdr:colOff>
      <xdr:row>1</xdr:row>
      <xdr:rowOff>166687</xdr:rowOff>
    </xdr:from>
    <xdr:to>
      <xdr:col>7</xdr:col>
      <xdr:colOff>238124</xdr:colOff>
      <xdr:row>4</xdr:row>
      <xdr:rowOff>40467</xdr:rowOff>
    </xdr:to>
    <xdr:pic>
      <xdr:nvPicPr>
        <xdr:cNvPr id="2" name="1 Imagen"/>
        <xdr:cNvPicPr>
          <a:picLocks noChangeAspect="1" noChangeArrowheads="1"/>
        </xdr:cNvPicPr>
      </xdr:nvPicPr>
      <xdr:blipFill>
        <a:blip xmlns:r="http://schemas.openxmlformats.org/officeDocument/2006/relationships" r:embed="rId1" cstate="print"/>
        <a:srcRect/>
        <a:stretch>
          <a:fillRect/>
        </a:stretch>
      </xdr:blipFill>
      <xdr:spPr bwMode="auto">
        <a:xfrm>
          <a:off x="466725" y="261937"/>
          <a:ext cx="3162299" cy="120728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142875</xdr:colOff>
      <xdr:row>1</xdr:row>
      <xdr:rowOff>166687</xdr:rowOff>
    </xdr:from>
    <xdr:to>
      <xdr:col>7</xdr:col>
      <xdr:colOff>238124</xdr:colOff>
      <xdr:row>4</xdr:row>
      <xdr:rowOff>40467</xdr:rowOff>
    </xdr:to>
    <xdr:pic>
      <xdr:nvPicPr>
        <xdr:cNvPr id="2" name="1 Imagen"/>
        <xdr:cNvPicPr>
          <a:picLocks noChangeAspect="1" noChangeArrowheads="1"/>
        </xdr:cNvPicPr>
      </xdr:nvPicPr>
      <xdr:blipFill>
        <a:blip xmlns:r="http://schemas.openxmlformats.org/officeDocument/2006/relationships" r:embed="rId1" cstate="print"/>
        <a:srcRect/>
        <a:stretch>
          <a:fillRect/>
        </a:stretch>
      </xdr:blipFill>
      <xdr:spPr bwMode="auto">
        <a:xfrm>
          <a:off x="466725" y="261937"/>
          <a:ext cx="3162299" cy="120728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142875</xdr:colOff>
      <xdr:row>1</xdr:row>
      <xdr:rowOff>166687</xdr:rowOff>
    </xdr:from>
    <xdr:to>
      <xdr:col>7</xdr:col>
      <xdr:colOff>238124</xdr:colOff>
      <xdr:row>4</xdr:row>
      <xdr:rowOff>40467</xdr:rowOff>
    </xdr:to>
    <xdr:pic>
      <xdr:nvPicPr>
        <xdr:cNvPr id="2" name="1 Imagen"/>
        <xdr:cNvPicPr>
          <a:picLocks noChangeAspect="1" noChangeArrowheads="1"/>
        </xdr:cNvPicPr>
      </xdr:nvPicPr>
      <xdr:blipFill>
        <a:blip xmlns:r="http://schemas.openxmlformats.org/officeDocument/2006/relationships" r:embed="rId1" cstate="print"/>
        <a:srcRect/>
        <a:stretch>
          <a:fillRect/>
        </a:stretch>
      </xdr:blipFill>
      <xdr:spPr bwMode="auto">
        <a:xfrm>
          <a:off x="466725" y="261937"/>
          <a:ext cx="3162299" cy="1207280"/>
        </a:xfrm>
        <a:prstGeom prst="rect">
          <a:avLst/>
        </a:prstGeom>
        <a:noFill/>
        <a:ln w="9525">
          <a:noFill/>
          <a:miter lim="800000"/>
          <a:headEnd/>
          <a:tailEnd/>
        </a:ln>
      </xdr:spPr>
    </xdr:pic>
    <xdr:clientData/>
  </xdr:twoCellAnchor>
  <xdr:twoCellAnchor>
    <xdr:from>
      <xdr:col>26</xdr:col>
      <xdr:colOff>2517323</xdr:colOff>
      <xdr:row>1</xdr:row>
      <xdr:rowOff>253093</xdr:rowOff>
    </xdr:from>
    <xdr:to>
      <xdr:col>26</xdr:col>
      <xdr:colOff>5143501</xdr:colOff>
      <xdr:row>3</xdr:row>
      <xdr:rowOff>253093</xdr:rowOff>
    </xdr:to>
    <xdr:sp macro="" textlink="">
      <xdr:nvSpPr>
        <xdr:cNvPr id="3" name="CuadroTexto 2"/>
        <xdr:cNvSpPr txBox="1"/>
      </xdr:nvSpPr>
      <xdr:spPr>
        <a:xfrm>
          <a:off x="43311537" y="348343"/>
          <a:ext cx="2626178" cy="870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SV" sz="2400">
              <a:latin typeface="Arial" panose="020B0604020202020204" pitchFamily="34" charset="0"/>
              <a:cs typeface="Arial" panose="020B0604020202020204" pitchFamily="34" charset="0"/>
            </a:rPr>
            <a:t>Anexo</a:t>
          </a:r>
          <a:r>
            <a:rPr lang="es-SV" sz="2400" baseline="0">
              <a:latin typeface="Arial" panose="020B0604020202020204" pitchFamily="34" charset="0"/>
              <a:cs typeface="Arial" panose="020B0604020202020204" pitchFamily="34" charset="0"/>
            </a:rPr>
            <a:t> No. 2</a:t>
          </a:r>
          <a:endParaRPr lang="es-SV" sz="2400">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142875</xdr:colOff>
      <xdr:row>1</xdr:row>
      <xdr:rowOff>166687</xdr:rowOff>
    </xdr:from>
    <xdr:to>
      <xdr:col>7</xdr:col>
      <xdr:colOff>238124</xdr:colOff>
      <xdr:row>4</xdr:row>
      <xdr:rowOff>40467</xdr:rowOff>
    </xdr:to>
    <xdr:pic>
      <xdr:nvPicPr>
        <xdr:cNvPr id="2" name="1 Imagen"/>
        <xdr:cNvPicPr>
          <a:picLocks noChangeAspect="1" noChangeArrowheads="1"/>
        </xdr:cNvPicPr>
      </xdr:nvPicPr>
      <xdr:blipFill>
        <a:blip xmlns:r="http://schemas.openxmlformats.org/officeDocument/2006/relationships" r:embed="rId1" cstate="print"/>
        <a:srcRect/>
        <a:stretch>
          <a:fillRect/>
        </a:stretch>
      </xdr:blipFill>
      <xdr:spPr bwMode="auto">
        <a:xfrm>
          <a:off x="466725" y="261937"/>
          <a:ext cx="3162299" cy="120728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142875</xdr:colOff>
      <xdr:row>1</xdr:row>
      <xdr:rowOff>166687</xdr:rowOff>
    </xdr:from>
    <xdr:to>
      <xdr:col>7</xdr:col>
      <xdr:colOff>166687</xdr:colOff>
      <xdr:row>4</xdr:row>
      <xdr:rowOff>64279</xdr:rowOff>
    </xdr:to>
    <xdr:pic>
      <xdr:nvPicPr>
        <xdr:cNvPr id="2" name="1 Imagen"/>
        <xdr:cNvPicPr>
          <a:picLocks noChangeAspect="1" noChangeArrowheads="1"/>
        </xdr:cNvPicPr>
      </xdr:nvPicPr>
      <xdr:blipFill>
        <a:blip xmlns:r="http://schemas.openxmlformats.org/officeDocument/2006/relationships" r:embed="rId1" cstate="print"/>
        <a:srcRect/>
        <a:stretch>
          <a:fillRect/>
        </a:stretch>
      </xdr:blipFill>
      <xdr:spPr bwMode="auto">
        <a:xfrm>
          <a:off x="466725" y="261937"/>
          <a:ext cx="3214687" cy="1231092"/>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47626</xdr:colOff>
      <xdr:row>67</xdr:row>
      <xdr:rowOff>66674</xdr:rowOff>
    </xdr:from>
    <xdr:to>
      <xdr:col>6</xdr:col>
      <xdr:colOff>3114676</xdr:colOff>
      <xdr:row>77</xdr:row>
      <xdr:rowOff>185737</xdr:rowOff>
    </xdr:to>
    <xdr:pic>
      <xdr:nvPicPr>
        <xdr:cNvPr id="4" name="Imagen 3"/>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6" y="81291112"/>
          <a:ext cx="8067675" cy="2976563"/>
        </a:xfrm>
        <a:prstGeom prst="rect">
          <a:avLst/>
        </a:prstGeom>
        <a:noFill/>
        <a:ln>
          <a:noFill/>
        </a:ln>
      </xdr:spPr>
    </xdr:pic>
    <xdr:clientData/>
  </xdr:twoCellAnchor>
  <xdr:twoCellAnchor>
    <xdr:from>
      <xdr:col>2</xdr:col>
      <xdr:colOff>207820</xdr:colOff>
      <xdr:row>1</xdr:row>
      <xdr:rowOff>329046</xdr:rowOff>
    </xdr:from>
    <xdr:to>
      <xdr:col>5</xdr:col>
      <xdr:colOff>1818409</xdr:colOff>
      <xdr:row>3</xdr:row>
      <xdr:rowOff>415636</xdr:rowOff>
    </xdr:to>
    <xdr:grpSp>
      <xdr:nvGrpSpPr>
        <xdr:cNvPr id="5" name="Grupo 4"/>
        <xdr:cNvGrpSpPr/>
      </xdr:nvGrpSpPr>
      <xdr:grpSpPr>
        <a:xfrm>
          <a:off x="398320" y="424296"/>
          <a:ext cx="3467964" cy="1015278"/>
          <a:chOff x="435937" y="788194"/>
          <a:chExt cx="3265999" cy="1056583"/>
        </a:xfrm>
      </xdr:grpSpPr>
      <xdr:pic>
        <xdr:nvPicPr>
          <xdr:cNvPr id="6" name="Imagen 5"/>
          <xdr:cNvPicPr>
            <a:picLocks noChangeAspect="1"/>
          </xdr:cNvPicPr>
        </xdr:nvPicPr>
        <xdr:blipFill>
          <a:blip xmlns:r="http://schemas.openxmlformats.org/officeDocument/2006/relationships" r:embed="rId2"/>
          <a:stretch>
            <a:fillRect/>
          </a:stretch>
        </xdr:blipFill>
        <xdr:spPr>
          <a:xfrm>
            <a:off x="435937" y="788194"/>
            <a:ext cx="971930" cy="1056583"/>
          </a:xfrm>
          <a:prstGeom prst="rect">
            <a:avLst/>
          </a:prstGeom>
        </xdr:spPr>
      </xdr:pic>
      <xdr:pic>
        <xdr:nvPicPr>
          <xdr:cNvPr id="7" name="Imagen 6"/>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14533" y="901453"/>
            <a:ext cx="2187403" cy="787612"/>
          </a:xfrm>
          <a:prstGeom prst="rect">
            <a:avLst/>
          </a:prstGeom>
          <a:noFill/>
        </xdr:spPr>
      </xdr:pic>
      <xdr:cxnSp macro="">
        <xdr:nvCxnSpPr>
          <xdr:cNvPr id="8" name="Conector recto 7"/>
          <xdr:cNvCxnSpPr/>
        </xdr:nvCxnSpPr>
        <xdr:spPr>
          <a:xfrm>
            <a:off x="1479804" y="926955"/>
            <a:ext cx="0" cy="879151"/>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11206</xdr:colOff>
      <xdr:row>16</xdr:row>
      <xdr:rowOff>100852</xdr:rowOff>
    </xdr:from>
    <xdr:to>
      <xdr:col>14</xdr:col>
      <xdr:colOff>493059</xdr:colOff>
      <xdr:row>49</xdr:row>
      <xdr:rowOff>112057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694228</xdr:colOff>
      <xdr:row>37</xdr:row>
      <xdr:rowOff>35858</xdr:rowOff>
    </xdr:from>
    <xdr:to>
      <xdr:col>5</xdr:col>
      <xdr:colOff>770965</xdr:colOff>
      <xdr:row>46</xdr:row>
      <xdr:rowOff>6038</xdr:rowOff>
    </xdr:to>
    <xdr:sp macro="" textlink="">
      <xdr:nvSpPr>
        <xdr:cNvPr id="3" name="CuadroTexto 2"/>
        <xdr:cNvSpPr txBox="1"/>
      </xdr:nvSpPr>
      <xdr:spPr>
        <a:xfrm>
          <a:off x="3708610" y="7846358"/>
          <a:ext cx="1062855" cy="13821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SV" sz="1100" b="1">
              <a:solidFill>
                <a:sysClr val="windowText" lastClr="000000"/>
              </a:solidFill>
            </a:rPr>
            <a:t>La Unidad Técnica Legal </a:t>
          </a:r>
          <a:r>
            <a:rPr lang="es-SV" sz="1100" b="1" baseline="0">
              <a:solidFill>
                <a:sysClr val="windowText" lastClr="000000"/>
              </a:solidFill>
            </a:rPr>
            <a:t> no </a:t>
          </a:r>
          <a:r>
            <a:rPr lang="es-SV" sz="1100" b="1">
              <a:solidFill>
                <a:sysClr val="windowText" lastClr="000000"/>
              </a:solidFill>
            </a:rPr>
            <a:t>presentó el Informe de julio y agosto de 2018 </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73"/>
  <sheetViews>
    <sheetView view="pageBreakPreview" topLeftCell="P1" zoomScale="40" zoomScaleNormal="70" zoomScaleSheetLayoutView="40" workbookViewId="0">
      <selection activeCell="S13" sqref="S13"/>
    </sheetView>
  </sheetViews>
  <sheetFormatPr baseColWidth="10" defaultRowHeight="22.5" x14ac:dyDescent="0.35"/>
  <cols>
    <col min="1" max="1" width="2.85546875" style="108" customWidth="1"/>
    <col min="2" max="2" width="2" style="108" customWidth="1"/>
    <col min="3" max="4" width="10.140625" style="108" customWidth="1"/>
    <col min="5" max="5" width="7" style="113" customWidth="1"/>
    <col min="6" max="6" width="11" style="243" customWidth="1"/>
    <col min="7" max="7" width="7.7109375" style="113" customWidth="1"/>
    <col min="8" max="8" width="47.140625" style="244" customWidth="1"/>
    <col min="9" max="9" width="12.28515625" style="245" customWidth="1"/>
    <col min="10" max="10" width="11.42578125" style="113" customWidth="1"/>
    <col min="11" max="11" width="52.5703125" style="244" customWidth="1"/>
    <col min="12" max="12" width="11.5703125" style="246" customWidth="1"/>
    <col min="13" max="13" width="12.42578125" style="113" customWidth="1"/>
    <col min="14" max="14" width="15" style="113" customWidth="1"/>
    <col min="15" max="15" width="44.28515625" style="113" customWidth="1"/>
    <col min="16" max="16" width="16.85546875" style="113" customWidth="1"/>
    <col min="17" max="17" width="44.7109375" style="113" customWidth="1"/>
    <col min="18" max="18" width="34" style="113" customWidth="1"/>
    <col min="19" max="19" width="26.42578125" style="113" customWidth="1"/>
    <col min="20" max="20" width="28.7109375" style="113" customWidth="1"/>
    <col min="21" max="21" width="29.140625" style="113" customWidth="1"/>
    <col min="22" max="22" width="23" style="113" customWidth="1"/>
    <col min="23" max="23" width="29.7109375" style="113" customWidth="1"/>
    <col min="24" max="24" width="29.42578125" style="113" customWidth="1"/>
    <col min="25" max="25" width="22.28515625" style="113" customWidth="1"/>
    <col min="26" max="26" width="70.5703125" style="113" customWidth="1"/>
    <col min="27" max="27" width="73.7109375" style="113" customWidth="1"/>
    <col min="28" max="28" width="6.140625" style="113" customWidth="1"/>
    <col min="29" max="29" width="12.42578125" style="113" customWidth="1"/>
    <col min="30" max="30" width="23.7109375" style="113" customWidth="1"/>
    <col min="31" max="31" width="10.28515625" style="113" customWidth="1"/>
    <col min="32" max="32" width="8" style="113" customWidth="1"/>
    <col min="33" max="16384" width="11.42578125" style="113"/>
  </cols>
  <sheetData>
    <row r="1" spans="3:35" ht="7.5" customHeight="1" x14ac:dyDescent="0.35">
      <c r="E1" s="108"/>
      <c r="F1" s="109"/>
      <c r="G1" s="108"/>
      <c r="H1" s="110"/>
      <c r="I1" s="111"/>
      <c r="J1" s="108"/>
      <c r="K1" s="110"/>
      <c r="L1" s="112"/>
      <c r="M1" s="108"/>
      <c r="N1" s="108"/>
      <c r="O1" s="108"/>
      <c r="P1" s="108"/>
      <c r="Q1" s="108"/>
      <c r="R1" s="108"/>
      <c r="S1" s="108"/>
      <c r="T1" s="108"/>
      <c r="U1" s="108"/>
      <c r="V1" s="108"/>
      <c r="W1" s="108"/>
      <c r="X1" s="108"/>
      <c r="Y1" s="108"/>
      <c r="Z1" s="108"/>
      <c r="AA1" s="108"/>
      <c r="AB1" s="108"/>
      <c r="AC1" s="108"/>
      <c r="AD1" s="108"/>
      <c r="AE1" s="108"/>
    </row>
    <row r="2" spans="3:35" ht="42" customHeight="1" x14ac:dyDescent="0.25">
      <c r="C2" s="684" t="s">
        <v>0</v>
      </c>
      <c r="D2" s="684"/>
      <c r="E2" s="684"/>
      <c r="F2" s="684"/>
      <c r="G2" s="684"/>
      <c r="H2" s="684"/>
      <c r="I2" s="684"/>
      <c r="J2" s="684"/>
      <c r="K2" s="684"/>
      <c r="L2" s="684"/>
      <c r="M2" s="684"/>
      <c r="N2" s="684"/>
      <c r="O2" s="684"/>
      <c r="P2" s="684"/>
      <c r="Q2" s="684"/>
      <c r="R2" s="684"/>
      <c r="S2" s="684"/>
      <c r="T2" s="684"/>
      <c r="U2" s="684"/>
      <c r="V2" s="684"/>
      <c r="W2" s="684"/>
      <c r="X2" s="684"/>
      <c r="Y2" s="684"/>
      <c r="Z2" s="684"/>
      <c r="AA2" s="684"/>
      <c r="AB2" s="114"/>
      <c r="AC2" s="114"/>
      <c r="AD2" s="114"/>
      <c r="AE2" s="108"/>
    </row>
    <row r="3" spans="3:35" ht="27" customHeight="1" x14ac:dyDescent="0.25">
      <c r="C3" s="684" t="s">
        <v>486</v>
      </c>
      <c r="D3" s="684"/>
      <c r="E3" s="684"/>
      <c r="F3" s="684"/>
      <c r="G3" s="684"/>
      <c r="H3" s="684"/>
      <c r="I3" s="684"/>
      <c r="J3" s="684"/>
      <c r="K3" s="684"/>
      <c r="L3" s="684"/>
      <c r="M3" s="684"/>
      <c r="N3" s="684"/>
      <c r="O3" s="684"/>
      <c r="P3" s="684"/>
      <c r="Q3" s="684"/>
      <c r="R3" s="684"/>
      <c r="S3" s="684"/>
      <c r="T3" s="684"/>
      <c r="U3" s="684"/>
      <c r="V3" s="684"/>
      <c r="W3" s="684"/>
      <c r="X3" s="684"/>
      <c r="Y3" s="684"/>
      <c r="Z3" s="684"/>
      <c r="AA3" s="684"/>
      <c r="AB3" s="114"/>
      <c r="AC3" s="114"/>
      <c r="AD3" s="114"/>
      <c r="AE3" s="108"/>
    </row>
    <row r="4" spans="3:35" ht="36" customHeight="1" x14ac:dyDescent="0.25">
      <c r="C4" s="685" t="s">
        <v>302</v>
      </c>
      <c r="D4" s="685"/>
      <c r="E4" s="685"/>
      <c r="F4" s="685"/>
      <c r="G4" s="685"/>
      <c r="H4" s="685"/>
      <c r="I4" s="685"/>
      <c r="J4" s="685"/>
      <c r="K4" s="685"/>
      <c r="L4" s="685"/>
      <c r="M4" s="685"/>
      <c r="N4" s="685"/>
      <c r="O4" s="685"/>
      <c r="P4" s="685"/>
      <c r="Q4" s="685"/>
      <c r="R4" s="685"/>
      <c r="S4" s="685"/>
      <c r="T4" s="685"/>
      <c r="U4" s="685"/>
      <c r="V4" s="685"/>
      <c r="W4" s="685"/>
      <c r="X4" s="685"/>
      <c r="Y4" s="685"/>
      <c r="Z4" s="685"/>
      <c r="AA4" s="685"/>
      <c r="AB4" s="115"/>
      <c r="AC4" s="115"/>
      <c r="AD4" s="115"/>
      <c r="AE4" s="108"/>
    </row>
    <row r="5" spans="3:35" ht="19.5" customHeight="1" thickBot="1" x14ac:dyDescent="0.3">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6"/>
      <c r="AE5" s="108"/>
    </row>
    <row r="6" spans="3:35" ht="42.75" customHeight="1" thickBot="1" x14ac:dyDescent="0.3">
      <c r="C6" s="686" t="s">
        <v>1</v>
      </c>
      <c r="D6" s="687"/>
      <c r="E6" s="687"/>
      <c r="F6" s="687"/>
      <c r="G6" s="687"/>
      <c r="H6" s="687"/>
      <c r="I6" s="687"/>
      <c r="J6" s="687"/>
      <c r="K6" s="687"/>
      <c r="L6" s="687"/>
      <c r="M6" s="688"/>
      <c r="N6" s="689" t="s">
        <v>2</v>
      </c>
      <c r="O6" s="690"/>
      <c r="P6" s="690"/>
      <c r="Q6" s="690"/>
      <c r="R6" s="690"/>
      <c r="S6" s="690"/>
      <c r="T6" s="690"/>
      <c r="U6" s="690"/>
      <c r="V6" s="690"/>
      <c r="W6" s="690"/>
      <c r="X6" s="690"/>
      <c r="Y6" s="690"/>
      <c r="Z6" s="690"/>
      <c r="AA6" s="691"/>
      <c r="AB6" s="117"/>
      <c r="AC6" s="117"/>
      <c r="AD6" s="117"/>
      <c r="AE6" s="108"/>
    </row>
    <row r="7" spans="3:35" ht="56.25" customHeight="1" thickBot="1" x14ac:dyDescent="0.3">
      <c r="C7" s="692" t="s">
        <v>3</v>
      </c>
      <c r="D7" s="692" t="s">
        <v>4</v>
      </c>
      <c r="E7" s="694" t="s">
        <v>5</v>
      </c>
      <c r="F7" s="695"/>
      <c r="G7" s="696" t="s">
        <v>6</v>
      </c>
      <c r="H7" s="697"/>
      <c r="I7" s="698"/>
      <c r="J7" s="696" t="s">
        <v>7</v>
      </c>
      <c r="K7" s="697"/>
      <c r="L7" s="697"/>
      <c r="M7" s="698"/>
      <c r="N7" s="720" t="s">
        <v>6</v>
      </c>
      <c r="O7" s="721"/>
      <c r="P7" s="720" t="s">
        <v>7</v>
      </c>
      <c r="Q7" s="721"/>
      <c r="R7" s="758" t="s">
        <v>8</v>
      </c>
      <c r="S7" s="760" t="s">
        <v>9</v>
      </c>
      <c r="T7" s="720" t="s">
        <v>303</v>
      </c>
      <c r="U7" s="762"/>
      <c r="V7" s="721"/>
      <c r="W7" s="763" t="s">
        <v>304</v>
      </c>
      <c r="X7" s="764"/>
      <c r="Y7" s="765"/>
      <c r="Z7" s="756" t="s">
        <v>266</v>
      </c>
      <c r="AA7" s="756" t="s">
        <v>267</v>
      </c>
      <c r="AB7" s="118"/>
      <c r="AC7" s="118"/>
      <c r="AD7" s="118"/>
      <c r="AE7" s="108"/>
    </row>
    <row r="8" spans="3:35" ht="79.5" customHeight="1" thickBot="1" x14ac:dyDescent="0.3">
      <c r="C8" s="693"/>
      <c r="D8" s="693"/>
      <c r="E8" s="119" t="s">
        <v>10</v>
      </c>
      <c r="F8" s="119" t="s">
        <v>11</v>
      </c>
      <c r="G8" s="119" t="s">
        <v>10</v>
      </c>
      <c r="H8" s="120" t="s">
        <v>12</v>
      </c>
      <c r="I8" s="119" t="s">
        <v>13</v>
      </c>
      <c r="J8" s="119" t="s">
        <v>10</v>
      </c>
      <c r="K8" s="120" t="s">
        <v>14</v>
      </c>
      <c r="L8" s="119" t="s">
        <v>15</v>
      </c>
      <c r="M8" s="119" t="s">
        <v>16</v>
      </c>
      <c r="N8" s="121" t="s">
        <v>17</v>
      </c>
      <c r="O8" s="122" t="s">
        <v>12</v>
      </c>
      <c r="P8" s="123" t="s">
        <v>17</v>
      </c>
      <c r="Q8" s="122" t="s">
        <v>14</v>
      </c>
      <c r="R8" s="759"/>
      <c r="S8" s="761"/>
      <c r="T8" s="124" t="s">
        <v>268</v>
      </c>
      <c r="U8" s="124" t="s">
        <v>269</v>
      </c>
      <c r="V8" s="124" t="s">
        <v>265</v>
      </c>
      <c r="W8" s="124" t="s">
        <v>268</v>
      </c>
      <c r="X8" s="124" t="s">
        <v>269</v>
      </c>
      <c r="Y8" s="124" t="s">
        <v>265</v>
      </c>
      <c r="Z8" s="757"/>
      <c r="AA8" s="757"/>
      <c r="AB8" s="118"/>
      <c r="AC8" s="118"/>
      <c r="AD8" s="118"/>
      <c r="AE8" s="108"/>
    </row>
    <row r="9" spans="3:35" ht="126" customHeight="1" thickBot="1" x14ac:dyDescent="0.3">
      <c r="C9" s="699" t="s">
        <v>18</v>
      </c>
      <c r="D9" s="702" t="s">
        <v>19</v>
      </c>
      <c r="E9" s="705">
        <v>1</v>
      </c>
      <c r="F9" s="707" t="s">
        <v>20</v>
      </c>
      <c r="G9" s="125">
        <v>101</v>
      </c>
      <c r="H9" s="126" t="s">
        <v>21</v>
      </c>
      <c r="I9" s="127">
        <v>0.6</v>
      </c>
      <c r="J9" s="128" t="s">
        <v>22</v>
      </c>
      <c r="K9" s="126" t="s">
        <v>23</v>
      </c>
      <c r="L9" s="129" t="s">
        <v>24</v>
      </c>
      <c r="M9" s="130">
        <v>1</v>
      </c>
      <c r="N9" s="130" t="s">
        <v>25</v>
      </c>
      <c r="O9" s="131" t="s">
        <v>26</v>
      </c>
      <c r="P9" s="132" t="s">
        <v>27</v>
      </c>
      <c r="Q9" s="133" t="s">
        <v>306</v>
      </c>
      <c r="R9" s="134" t="s">
        <v>307</v>
      </c>
      <c r="S9" s="134" t="s">
        <v>28</v>
      </c>
      <c r="T9" s="135">
        <v>237265</v>
      </c>
      <c r="U9" s="136">
        <v>401906</v>
      </c>
      <c r="V9" s="50">
        <f>+U9/T9</f>
        <v>1.6939118706931069</v>
      </c>
      <c r="W9" s="137">
        <f>+T9</f>
        <v>237265</v>
      </c>
      <c r="X9" s="138">
        <f>+U9</f>
        <v>401906</v>
      </c>
      <c r="Y9" s="50">
        <f>+X9/W9</f>
        <v>1.6939118706931069</v>
      </c>
      <c r="Z9" s="139" t="s">
        <v>393</v>
      </c>
      <c r="AA9" s="140" t="s">
        <v>294</v>
      </c>
      <c r="AB9" s="141"/>
      <c r="AC9" s="142"/>
      <c r="AD9" s="143"/>
      <c r="AE9" s="108"/>
    </row>
    <row r="10" spans="3:35" ht="81" customHeight="1" thickBot="1" x14ac:dyDescent="0.3">
      <c r="C10" s="700"/>
      <c r="D10" s="703"/>
      <c r="E10" s="706"/>
      <c r="F10" s="708"/>
      <c r="G10" s="709">
        <v>102</v>
      </c>
      <c r="H10" s="712" t="s">
        <v>29</v>
      </c>
      <c r="I10" s="715">
        <v>0.2</v>
      </c>
      <c r="J10" s="128" t="s">
        <v>30</v>
      </c>
      <c r="K10" s="144" t="s">
        <v>31</v>
      </c>
      <c r="L10" s="145" t="s">
        <v>24</v>
      </c>
      <c r="M10" s="146">
        <v>0.4</v>
      </c>
      <c r="N10" s="718" t="s">
        <v>32</v>
      </c>
      <c r="O10" s="751" t="s">
        <v>33</v>
      </c>
      <c r="P10" s="718" t="s">
        <v>34</v>
      </c>
      <c r="Q10" s="751" t="s">
        <v>331</v>
      </c>
      <c r="R10" s="752" t="s">
        <v>305</v>
      </c>
      <c r="S10" s="752" t="s">
        <v>28</v>
      </c>
      <c r="T10" s="754">
        <v>42500</v>
      </c>
      <c r="U10" s="754">
        <v>40305</v>
      </c>
      <c r="V10" s="769">
        <f t="shared" ref="V10:V69" si="0">+U10/T10</f>
        <v>0.94835294117647062</v>
      </c>
      <c r="W10" s="754">
        <f>+T10</f>
        <v>42500</v>
      </c>
      <c r="X10" s="771">
        <f>+U10</f>
        <v>40305</v>
      </c>
      <c r="Y10" s="769">
        <f t="shared" ref="Y10:Y69" si="1">+X10/W10</f>
        <v>0.94835294117647062</v>
      </c>
      <c r="Z10" s="773" t="s">
        <v>396</v>
      </c>
      <c r="AA10" s="748" t="s">
        <v>292</v>
      </c>
      <c r="AB10" s="141"/>
      <c r="AC10" s="142"/>
      <c r="AD10" s="147"/>
      <c r="AE10" s="108"/>
    </row>
    <row r="11" spans="3:35" ht="81.75" customHeight="1" thickBot="1" x14ac:dyDescent="0.3">
      <c r="C11" s="700"/>
      <c r="D11" s="703"/>
      <c r="E11" s="706"/>
      <c r="F11" s="708"/>
      <c r="G11" s="710"/>
      <c r="H11" s="713"/>
      <c r="I11" s="716"/>
      <c r="J11" s="148" t="s">
        <v>35</v>
      </c>
      <c r="K11" s="149" t="s">
        <v>36</v>
      </c>
      <c r="L11" s="145" t="s">
        <v>24</v>
      </c>
      <c r="M11" s="132">
        <v>0.3</v>
      </c>
      <c r="N11" s="719"/>
      <c r="O11" s="731"/>
      <c r="P11" s="719"/>
      <c r="Q11" s="731"/>
      <c r="R11" s="753"/>
      <c r="S11" s="753"/>
      <c r="T11" s="755"/>
      <c r="U11" s="755"/>
      <c r="V11" s="770"/>
      <c r="W11" s="755"/>
      <c r="X11" s="772"/>
      <c r="Y11" s="770"/>
      <c r="Z11" s="774"/>
      <c r="AA11" s="750"/>
      <c r="AB11" s="141"/>
      <c r="AC11" s="142"/>
      <c r="AD11" s="142"/>
      <c r="AE11" s="108"/>
    </row>
    <row r="12" spans="3:35" ht="156" customHeight="1" thickBot="1" x14ac:dyDescent="0.3">
      <c r="C12" s="700"/>
      <c r="D12" s="703"/>
      <c r="E12" s="706"/>
      <c r="F12" s="708"/>
      <c r="G12" s="711"/>
      <c r="H12" s="714"/>
      <c r="I12" s="717"/>
      <c r="J12" s="148" t="s">
        <v>37</v>
      </c>
      <c r="K12" s="149" t="s">
        <v>38</v>
      </c>
      <c r="L12" s="150" t="s">
        <v>24</v>
      </c>
      <c r="M12" s="132">
        <v>0.3</v>
      </c>
      <c r="N12" s="132" t="s">
        <v>39</v>
      </c>
      <c r="O12" s="133" t="s">
        <v>308</v>
      </c>
      <c r="P12" s="132" t="s">
        <v>40</v>
      </c>
      <c r="Q12" s="133" t="s">
        <v>308</v>
      </c>
      <c r="R12" s="134" t="s">
        <v>41</v>
      </c>
      <c r="S12" s="134" t="s">
        <v>42</v>
      </c>
      <c r="T12" s="151">
        <v>1</v>
      </c>
      <c r="U12" s="151">
        <v>1</v>
      </c>
      <c r="V12" s="50">
        <f t="shared" si="0"/>
        <v>1</v>
      </c>
      <c r="W12" s="151">
        <f t="shared" ref="W12:X16" si="2">+T12</f>
        <v>1</v>
      </c>
      <c r="X12" s="151">
        <f t="shared" si="2"/>
        <v>1</v>
      </c>
      <c r="Y12" s="50">
        <f t="shared" si="1"/>
        <v>1</v>
      </c>
      <c r="Z12" s="152" t="s">
        <v>363</v>
      </c>
      <c r="AA12" s="153" t="s">
        <v>292</v>
      </c>
      <c r="AB12" s="141"/>
      <c r="AC12" s="142"/>
      <c r="AD12" s="142"/>
      <c r="AE12" s="108"/>
    </row>
    <row r="13" spans="3:35" ht="150.75" customHeight="1" thickBot="1" x14ac:dyDescent="0.3">
      <c r="C13" s="700"/>
      <c r="D13" s="703"/>
      <c r="E13" s="706"/>
      <c r="F13" s="708"/>
      <c r="G13" s="709">
        <v>103</v>
      </c>
      <c r="H13" s="712" t="s">
        <v>43</v>
      </c>
      <c r="I13" s="715">
        <v>0.2</v>
      </c>
      <c r="J13" s="742" t="s">
        <v>44</v>
      </c>
      <c r="K13" s="766" t="s">
        <v>45</v>
      </c>
      <c r="L13" s="745" t="s">
        <v>24</v>
      </c>
      <c r="M13" s="718">
        <v>0.5</v>
      </c>
      <c r="N13" s="154" t="s">
        <v>106</v>
      </c>
      <c r="O13" s="133" t="s">
        <v>324</v>
      </c>
      <c r="P13" s="132" t="s">
        <v>108</v>
      </c>
      <c r="Q13" s="133" t="s">
        <v>329</v>
      </c>
      <c r="R13" s="155" t="s">
        <v>325</v>
      </c>
      <c r="S13" s="134" t="s">
        <v>42</v>
      </c>
      <c r="T13" s="151">
        <v>0</v>
      </c>
      <c r="U13" s="151">
        <v>0</v>
      </c>
      <c r="V13" s="50" t="e">
        <f t="shared" si="0"/>
        <v>#DIV/0!</v>
      </c>
      <c r="W13" s="151">
        <f t="shared" si="2"/>
        <v>0</v>
      </c>
      <c r="X13" s="151">
        <f t="shared" si="2"/>
        <v>0</v>
      </c>
      <c r="Y13" s="50" t="e">
        <f t="shared" si="1"/>
        <v>#DIV/0!</v>
      </c>
      <c r="Z13" s="152" t="s">
        <v>295</v>
      </c>
      <c r="AA13" s="156" t="s">
        <v>292</v>
      </c>
      <c r="AB13" s="141"/>
      <c r="AC13" s="142"/>
      <c r="AD13" s="142"/>
      <c r="AE13" s="157"/>
      <c r="AG13" s="158"/>
      <c r="AI13" s="158"/>
    </row>
    <row r="14" spans="3:35" ht="132" customHeight="1" thickBot="1" x14ac:dyDescent="0.3">
      <c r="C14" s="700"/>
      <c r="D14" s="703"/>
      <c r="E14" s="706"/>
      <c r="F14" s="708"/>
      <c r="G14" s="710"/>
      <c r="H14" s="713"/>
      <c r="I14" s="716"/>
      <c r="J14" s="744"/>
      <c r="K14" s="767"/>
      <c r="L14" s="747"/>
      <c r="M14" s="719"/>
      <c r="N14" s="768" t="s">
        <v>46</v>
      </c>
      <c r="O14" s="730" t="s">
        <v>47</v>
      </c>
      <c r="P14" s="159" t="s">
        <v>48</v>
      </c>
      <c r="Q14" s="160" t="s">
        <v>330</v>
      </c>
      <c r="R14" s="155" t="s">
        <v>310</v>
      </c>
      <c r="S14" s="134" t="s">
        <v>49</v>
      </c>
      <c r="T14" s="151">
        <v>0</v>
      </c>
      <c r="U14" s="151">
        <v>0</v>
      </c>
      <c r="V14" s="50" t="e">
        <f>+U14/T14</f>
        <v>#DIV/0!</v>
      </c>
      <c r="W14" s="151">
        <f t="shared" si="2"/>
        <v>0</v>
      </c>
      <c r="X14" s="151">
        <f t="shared" si="2"/>
        <v>0</v>
      </c>
      <c r="Y14" s="50" t="e">
        <f>+X14/W14</f>
        <v>#DIV/0!</v>
      </c>
      <c r="Z14" s="152" t="s">
        <v>295</v>
      </c>
      <c r="AA14" s="153" t="s">
        <v>294</v>
      </c>
      <c r="AB14" s="141"/>
      <c r="AC14" s="142"/>
      <c r="AD14" s="142"/>
      <c r="AE14" s="157"/>
      <c r="AG14" s="158"/>
      <c r="AH14" s="158"/>
      <c r="AI14" s="158"/>
    </row>
    <row r="15" spans="3:35" ht="132.75" customHeight="1" thickBot="1" x14ac:dyDescent="0.3">
      <c r="C15" s="700"/>
      <c r="D15" s="703"/>
      <c r="E15" s="706"/>
      <c r="F15" s="708"/>
      <c r="G15" s="711"/>
      <c r="H15" s="714"/>
      <c r="I15" s="717"/>
      <c r="J15" s="128" t="s">
        <v>50</v>
      </c>
      <c r="K15" s="144" t="s">
        <v>287</v>
      </c>
      <c r="L15" s="145" t="s">
        <v>24</v>
      </c>
      <c r="M15" s="146">
        <v>0.5</v>
      </c>
      <c r="N15" s="719"/>
      <c r="O15" s="731"/>
      <c r="P15" s="132" t="s">
        <v>51</v>
      </c>
      <c r="Q15" s="133" t="s">
        <v>309</v>
      </c>
      <c r="R15" s="134" t="s">
        <v>311</v>
      </c>
      <c r="S15" s="134" t="s">
        <v>42</v>
      </c>
      <c r="T15" s="161">
        <v>0</v>
      </c>
      <c r="U15" s="151">
        <v>0</v>
      </c>
      <c r="V15" s="50" t="e">
        <f t="shared" si="0"/>
        <v>#DIV/0!</v>
      </c>
      <c r="W15" s="161">
        <f t="shared" si="2"/>
        <v>0</v>
      </c>
      <c r="X15" s="151">
        <f t="shared" si="2"/>
        <v>0</v>
      </c>
      <c r="Y15" s="50" t="e">
        <f t="shared" si="1"/>
        <v>#DIV/0!</v>
      </c>
      <c r="Z15" s="162" t="s">
        <v>295</v>
      </c>
      <c r="AA15" s="163" t="s">
        <v>292</v>
      </c>
      <c r="AB15" s="141"/>
      <c r="AC15" s="142"/>
      <c r="AD15" s="142"/>
      <c r="AE15" s="108"/>
    </row>
    <row r="16" spans="3:35" ht="108.75" customHeight="1" thickBot="1" x14ac:dyDescent="0.3">
      <c r="C16" s="700"/>
      <c r="D16" s="703"/>
      <c r="E16" s="722">
        <v>2</v>
      </c>
      <c r="F16" s="725" t="s">
        <v>52</v>
      </c>
      <c r="G16" s="728">
        <v>201</v>
      </c>
      <c r="H16" s="712" t="s">
        <v>283</v>
      </c>
      <c r="I16" s="739">
        <v>0.3</v>
      </c>
      <c r="J16" s="164" t="s">
        <v>53</v>
      </c>
      <c r="K16" s="149" t="s">
        <v>54</v>
      </c>
      <c r="L16" s="165" t="s">
        <v>24</v>
      </c>
      <c r="M16" s="132">
        <v>0.5</v>
      </c>
      <c r="N16" s="732" t="s">
        <v>55</v>
      </c>
      <c r="O16" s="751" t="s">
        <v>56</v>
      </c>
      <c r="P16" s="718" t="s">
        <v>57</v>
      </c>
      <c r="Q16" s="751" t="s">
        <v>351</v>
      </c>
      <c r="R16" s="752" t="s">
        <v>58</v>
      </c>
      <c r="S16" s="752" t="s">
        <v>42</v>
      </c>
      <c r="T16" s="776">
        <v>0</v>
      </c>
      <c r="U16" s="776">
        <v>0</v>
      </c>
      <c r="V16" s="769" t="e">
        <f t="shared" si="0"/>
        <v>#DIV/0!</v>
      </c>
      <c r="W16" s="776">
        <f t="shared" si="2"/>
        <v>0</v>
      </c>
      <c r="X16" s="776">
        <f t="shared" si="2"/>
        <v>0</v>
      </c>
      <c r="Y16" s="769" t="e">
        <f t="shared" si="1"/>
        <v>#DIV/0!</v>
      </c>
      <c r="Z16" s="780" t="s">
        <v>367</v>
      </c>
      <c r="AA16" s="748" t="s">
        <v>366</v>
      </c>
      <c r="AB16" s="141"/>
      <c r="AC16" s="142"/>
      <c r="AD16" s="147"/>
      <c r="AE16" s="108"/>
    </row>
    <row r="17" spans="3:31" ht="66" customHeight="1" thickBot="1" x14ac:dyDescent="0.3">
      <c r="C17" s="700"/>
      <c r="D17" s="703"/>
      <c r="E17" s="723"/>
      <c r="F17" s="726"/>
      <c r="G17" s="729"/>
      <c r="H17" s="714"/>
      <c r="I17" s="741"/>
      <c r="J17" s="166" t="s">
        <v>59</v>
      </c>
      <c r="K17" s="144" t="s">
        <v>60</v>
      </c>
      <c r="L17" s="167" t="s">
        <v>24</v>
      </c>
      <c r="M17" s="146">
        <v>0.5</v>
      </c>
      <c r="N17" s="733"/>
      <c r="O17" s="730"/>
      <c r="P17" s="768"/>
      <c r="Q17" s="730"/>
      <c r="R17" s="783"/>
      <c r="S17" s="783"/>
      <c r="T17" s="777"/>
      <c r="U17" s="777"/>
      <c r="V17" s="779"/>
      <c r="W17" s="777"/>
      <c r="X17" s="777"/>
      <c r="Y17" s="779"/>
      <c r="Z17" s="781"/>
      <c r="AA17" s="749"/>
      <c r="AB17" s="141"/>
      <c r="AC17" s="142"/>
      <c r="AD17" s="147"/>
      <c r="AE17" s="108"/>
    </row>
    <row r="18" spans="3:31" ht="54.75" customHeight="1" thickBot="1" x14ac:dyDescent="0.3">
      <c r="C18" s="700"/>
      <c r="D18" s="703"/>
      <c r="E18" s="723"/>
      <c r="F18" s="726"/>
      <c r="G18" s="728">
        <v>202</v>
      </c>
      <c r="H18" s="712" t="s">
        <v>281</v>
      </c>
      <c r="I18" s="739">
        <v>0.3</v>
      </c>
      <c r="J18" s="166" t="s">
        <v>61</v>
      </c>
      <c r="K18" s="144" t="s">
        <v>62</v>
      </c>
      <c r="L18" s="167" t="s">
        <v>24</v>
      </c>
      <c r="M18" s="146">
        <v>0.5</v>
      </c>
      <c r="N18" s="733"/>
      <c r="O18" s="730"/>
      <c r="P18" s="768"/>
      <c r="Q18" s="730"/>
      <c r="R18" s="783"/>
      <c r="S18" s="783"/>
      <c r="T18" s="777"/>
      <c r="U18" s="777"/>
      <c r="V18" s="779"/>
      <c r="W18" s="777"/>
      <c r="X18" s="777"/>
      <c r="Y18" s="779"/>
      <c r="Z18" s="781"/>
      <c r="AA18" s="749"/>
      <c r="AB18" s="141"/>
      <c r="AC18" s="142"/>
      <c r="AD18" s="147"/>
      <c r="AE18" s="108"/>
    </row>
    <row r="19" spans="3:31" ht="88.5" customHeight="1" thickBot="1" x14ac:dyDescent="0.3">
      <c r="C19" s="700"/>
      <c r="D19" s="703"/>
      <c r="E19" s="723"/>
      <c r="F19" s="726"/>
      <c r="G19" s="729"/>
      <c r="H19" s="714"/>
      <c r="I19" s="741"/>
      <c r="J19" s="164" t="s">
        <v>63</v>
      </c>
      <c r="K19" s="149" t="s">
        <v>64</v>
      </c>
      <c r="L19" s="165" t="s">
        <v>24</v>
      </c>
      <c r="M19" s="132">
        <v>0.5</v>
      </c>
      <c r="N19" s="733"/>
      <c r="O19" s="730"/>
      <c r="P19" s="768"/>
      <c r="Q19" s="730"/>
      <c r="R19" s="783"/>
      <c r="S19" s="783"/>
      <c r="T19" s="777"/>
      <c r="U19" s="777"/>
      <c r="V19" s="779"/>
      <c r="W19" s="777"/>
      <c r="X19" s="777"/>
      <c r="Y19" s="779"/>
      <c r="Z19" s="781"/>
      <c r="AA19" s="749"/>
      <c r="AB19" s="141"/>
      <c r="AC19" s="142"/>
      <c r="AD19" s="168"/>
      <c r="AE19" s="108"/>
    </row>
    <row r="20" spans="3:31" ht="66" customHeight="1" thickBot="1" x14ac:dyDescent="0.3">
      <c r="C20" s="700"/>
      <c r="D20" s="703"/>
      <c r="E20" s="723"/>
      <c r="F20" s="726"/>
      <c r="G20" s="728">
        <v>203</v>
      </c>
      <c r="H20" s="712" t="s">
        <v>282</v>
      </c>
      <c r="I20" s="739">
        <v>0.2</v>
      </c>
      <c r="J20" s="164" t="s">
        <v>65</v>
      </c>
      <c r="K20" s="149" t="s">
        <v>66</v>
      </c>
      <c r="L20" s="165" t="s">
        <v>24</v>
      </c>
      <c r="M20" s="132">
        <v>0.4</v>
      </c>
      <c r="N20" s="733"/>
      <c r="O20" s="730"/>
      <c r="P20" s="768"/>
      <c r="Q20" s="730"/>
      <c r="R20" s="783"/>
      <c r="S20" s="783"/>
      <c r="T20" s="777"/>
      <c r="U20" s="777"/>
      <c r="V20" s="779"/>
      <c r="W20" s="777"/>
      <c r="X20" s="777"/>
      <c r="Y20" s="779"/>
      <c r="Z20" s="781"/>
      <c r="AA20" s="749"/>
      <c r="AB20" s="141"/>
      <c r="AC20" s="142"/>
      <c r="AD20" s="142"/>
      <c r="AE20" s="108"/>
    </row>
    <row r="21" spans="3:31" ht="79.5" customHeight="1" thickBot="1" x14ac:dyDescent="0.3">
      <c r="C21" s="700"/>
      <c r="D21" s="703"/>
      <c r="E21" s="723"/>
      <c r="F21" s="726"/>
      <c r="G21" s="775"/>
      <c r="H21" s="713"/>
      <c r="I21" s="740"/>
      <c r="J21" s="164" t="s">
        <v>67</v>
      </c>
      <c r="K21" s="149" t="s">
        <v>68</v>
      </c>
      <c r="L21" s="165" t="s">
        <v>24</v>
      </c>
      <c r="M21" s="132">
        <v>0.3</v>
      </c>
      <c r="N21" s="733"/>
      <c r="O21" s="730"/>
      <c r="P21" s="768"/>
      <c r="Q21" s="730"/>
      <c r="R21" s="783"/>
      <c r="S21" s="783"/>
      <c r="T21" s="777"/>
      <c r="U21" s="777"/>
      <c r="V21" s="779"/>
      <c r="W21" s="777"/>
      <c r="X21" s="777"/>
      <c r="Y21" s="779"/>
      <c r="Z21" s="781"/>
      <c r="AA21" s="749"/>
      <c r="AB21" s="141"/>
      <c r="AC21" s="141"/>
      <c r="AD21" s="142"/>
      <c r="AE21" s="108"/>
    </row>
    <row r="22" spans="3:31" ht="86.25" customHeight="1" thickBot="1" x14ac:dyDescent="0.3">
      <c r="C22" s="700"/>
      <c r="D22" s="703"/>
      <c r="E22" s="724"/>
      <c r="F22" s="727"/>
      <c r="G22" s="729"/>
      <c r="H22" s="714"/>
      <c r="I22" s="741"/>
      <c r="J22" s="169" t="s">
        <v>67</v>
      </c>
      <c r="K22" s="170" t="s">
        <v>69</v>
      </c>
      <c r="L22" s="171" t="s">
        <v>24</v>
      </c>
      <c r="M22" s="172">
        <v>0.3</v>
      </c>
      <c r="N22" s="734"/>
      <c r="O22" s="731"/>
      <c r="P22" s="719"/>
      <c r="Q22" s="731"/>
      <c r="R22" s="753"/>
      <c r="S22" s="753"/>
      <c r="T22" s="778"/>
      <c r="U22" s="778"/>
      <c r="V22" s="770"/>
      <c r="W22" s="778"/>
      <c r="X22" s="778"/>
      <c r="Y22" s="770"/>
      <c r="Z22" s="782"/>
      <c r="AA22" s="750"/>
      <c r="AB22" s="141"/>
      <c r="AC22" s="141"/>
      <c r="AD22" s="141"/>
      <c r="AE22" s="108"/>
    </row>
    <row r="23" spans="3:31" ht="131.25" customHeight="1" thickBot="1" x14ac:dyDescent="0.3">
      <c r="C23" s="700"/>
      <c r="D23" s="703"/>
      <c r="E23" s="793">
        <v>3</v>
      </c>
      <c r="F23" s="726" t="s">
        <v>70</v>
      </c>
      <c r="G23" s="173">
        <v>301</v>
      </c>
      <c r="H23" s="174" t="s">
        <v>71</v>
      </c>
      <c r="I23" s="175">
        <v>0.1</v>
      </c>
      <c r="J23" s="176" t="s">
        <v>72</v>
      </c>
      <c r="K23" s="177" t="s">
        <v>288</v>
      </c>
      <c r="L23" s="165" t="s">
        <v>24</v>
      </c>
      <c r="M23" s="132">
        <v>1</v>
      </c>
      <c r="N23" s="172" t="s">
        <v>73</v>
      </c>
      <c r="O23" s="133" t="s">
        <v>74</v>
      </c>
      <c r="P23" s="132" t="s">
        <v>75</v>
      </c>
      <c r="Q23" s="133" t="s">
        <v>358</v>
      </c>
      <c r="R23" s="134" t="s">
        <v>76</v>
      </c>
      <c r="S23" s="134" t="s">
        <v>229</v>
      </c>
      <c r="T23" s="134">
        <v>0</v>
      </c>
      <c r="U23" s="134">
        <v>0</v>
      </c>
      <c r="V23" s="50" t="e">
        <f t="shared" si="0"/>
        <v>#DIV/0!</v>
      </c>
      <c r="W23" s="178">
        <f>+T23</f>
        <v>0</v>
      </c>
      <c r="X23" s="178">
        <f t="shared" ref="X23" si="3">+U23</f>
        <v>0</v>
      </c>
      <c r="Y23" s="50" t="e">
        <f t="shared" si="1"/>
        <v>#DIV/0!</v>
      </c>
      <c r="Z23" s="179" t="s">
        <v>295</v>
      </c>
      <c r="AA23" s="153" t="s">
        <v>292</v>
      </c>
      <c r="AB23" s="141"/>
      <c r="AC23" s="141"/>
      <c r="AD23" s="142"/>
      <c r="AE23" s="157"/>
    </row>
    <row r="24" spans="3:31" ht="169.5" customHeight="1" thickBot="1" x14ac:dyDescent="0.3">
      <c r="C24" s="700"/>
      <c r="D24" s="703"/>
      <c r="E24" s="793"/>
      <c r="F24" s="726"/>
      <c r="G24" s="709">
        <v>302</v>
      </c>
      <c r="H24" s="712" t="s">
        <v>78</v>
      </c>
      <c r="I24" s="739">
        <v>0.1</v>
      </c>
      <c r="J24" s="742" t="s">
        <v>79</v>
      </c>
      <c r="K24" s="735" t="s">
        <v>80</v>
      </c>
      <c r="L24" s="737" t="s">
        <v>81</v>
      </c>
      <c r="M24" s="732">
        <v>0.5</v>
      </c>
      <c r="N24" s="172" t="s">
        <v>82</v>
      </c>
      <c r="O24" s="180" t="s">
        <v>83</v>
      </c>
      <c r="P24" s="172" t="s">
        <v>84</v>
      </c>
      <c r="Q24" s="180" t="s">
        <v>85</v>
      </c>
      <c r="R24" s="181" t="s">
        <v>359</v>
      </c>
      <c r="S24" s="181" t="s">
        <v>77</v>
      </c>
      <c r="T24" s="182">
        <v>0.28000000000000003</v>
      </c>
      <c r="U24" s="182">
        <v>0.28000000000000003</v>
      </c>
      <c r="V24" s="50">
        <f t="shared" si="0"/>
        <v>1</v>
      </c>
      <c r="W24" s="182">
        <f>+T24</f>
        <v>0.28000000000000003</v>
      </c>
      <c r="X24" s="182">
        <f>+U24</f>
        <v>0.28000000000000003</v>
      </c>
      <c r="Y24" s="50">
        <f t="shared" si="1"/>
        <v>1</v>
      </c>
      <c r="Z24" s="183"/>
      <c r="AA24" s="184" t="s">
        <v>294</v>
      </c>
      <c r="AB24" s="141"/>
      <c r="AC24" s="141"/>
      <c r="AD24" s="141"/>
      <c r="AE24" s="108"/>
    </row>
    <row r="25" spans="3:31" ht="180.75" customHeight="1" thickBot="1" x14ac:dyDescent="0.3">
      <c r="C25" s="700"/>
      <c r="D25" s="703"/>
      <c r="E25" s="793"/>
      <c r="F25" s="726"/>
      <c r="G25" s="711"/>
      <c r="H25" s="714"/>
      <c r="I25" s="741"/>
      <c r="J25" s="744"/>
      <c r="K25" s="736"/>
      <c r="L25" s="738"/>
      <c r="M25" s="734"/>
      <c r="N25" s="172" t="s">
        <v>87</v>
      </c>
      <c r="O25" s="180" t="s">
        <v>88</v>
      </c>
      <c r="P25" s="172" t="s">
        <v>89</v>
      </c>
      <c r="Q25" s="180" t="s">
        <v>360</v>
      </c>
      <c r="R25" s="181" t="s">
        <v>86</v>
      </c>
      <c r="S25" s="181" t="s">
        <v>77</v>
      </c>
      <c r="T25" s="182">
        <v>0</v>
      </c>
      <c r="U25" s="181">
        <v>0</v>
      </c>
      <c r="V25" s="50" t="e">
        <f t="shared" si="0"/>
        <v>#DIV/0!</v>
      </c>
      <c r="W25" s="181">
        <f>+T25</f>
        <v>0</v>
      </c>
      <c r="X25" s="181">
        <f>+U25</f>
        <v>0</v>
      </c>
      <c r="Y25" s="50" t="e">
        <f t="shared" si="1"/>
        <v>#DIV/0!</v>
      </c>
      <c r="Z25" s="185" t="s">
        <v>295</v>
      </c>
      <c r="AA25" s="153" t="s">
        <v>292</v>
      </c>
      <c r="AB25" s="141"/>
      <c r="AC25" s="141"/>
      <c r="AD25" s="141"/>
      <c r="AE25" s="108"/>
    </row>
    <row r="26" spans="3:31" ht="147.75" customHeight="1" thickBot="1" x14ac:dyDescent="0.3">
      <c r="C26" s="700"/>
      <c r="D26" s="703"/>
      <c r="E26" s="793"/>
      <c r="F26" s="726"/>
      <c r="G26" s="709">
        <v>303</v>
      </c>
      <c r="H26" s="712" t="s">
        <v>90</v>
      </c>
      <c r="I26" s="739">
        <v>0.3</v>
      </c>
      <c r="J26" s="742" t="s">
        <v>91</v>
      </c>
      <c r="K26" s="712" t="s">
        <v>289</v>
      </c>
      <c r="L26" s="745" t="s">
        <v>81</v>
      </c>
      <c r="M26" s="718">
        <v>1</v>
      </c>
      <c r="N26" s="732" t="s">
        <v>92</v>
      </c>
      <c r="O26" s="751" t="s">
        <v>93</v>
      </c>
      <c r="P26" s="132" t="s">
        <v>94</v>
      </c>
      <c r="Q26" s="133" t="s">
        <v>352</v>
      </c>
      <c r="R26" s="134" t="s">
        <v>95</v>
      </c>
      <c r="S26" s="134" t="s">
        <v>96</v>
      </c>
      <c r="T26" s="134">
        <v>0.7</v>
      </c>
      <c r="U26" s="186">
        <v>0.56110000000000004</v>
      </c>
      <c r="V26" s="50">
        <f t="shared" si="0"/>
        <v>0.80157142857142871</v>
      </c>
      <c r="W26" s="134">
        <f t="shared" ref="W26:X29" si="4">+T26</f>
        <v>0.7</v>
      </c>
      <c r="X26" s="186">
        <f t="shared" si="4"/>
        <v>0.56110000000000004</v>
      </c>
      <c r="Y26" s="50">
        <f t="shared" si="1"/>
        <v>0.80157142857142871</v>
      </c>
      <c r="Z26" s="179" t="s">
        <v>368</v>
      </c>
      <c r="AA26" s="156" t="s">
        <v>292</v>
      </c>
      <c r="AB26" s="141"/>
      <c r="AC26" s="141"/>
      <c r="AD26" s="187" t="s">
        <v>299</v>
      </c>
      <c r="AE26" s="108"/>
    </row>
    <row r="27" spans="3:31" ht="157.5" customHeight="1" thickBot="1" x14ac:dyDescent="0.3">
      <c r="C27" s="700"/>
      <c r="D27" s="703"/>
      <c r="E27" s="793"/>
      <c r="F27" s="726"/>
      <c r="G27" s="710"/>
      <c r="H27" s="713"/>
      <c r="I27" s="740"/>
      <c r="J27" s="743"/>
      <c r="K27" s="713"/>
      <c r="L27" s="746"/>
      <c r="M27" s="768"/>
      <c r="N27" s="734"/>
      <c r="O27" s="731"/>
      <c r="P27" s="132" t="s">
        <v>97</v>
      </c>
      <c r="Q27" s="133" t="s">
        <v>353</v>
      </c>
      <c r="R27" s="134" t="s">
        <v>95</v>
      </c>
      <c r="S27" s="134" t="s">
        <v>96</v>
      </c>
      <c r="T27" s="134">
        <v>1</v>
      </c>
      <c r="U27" s="178">
        <v>1</v>
      </c>
      <c r="V27" s="105">
        <f t="shared" si="0"/>
        <v>1</v>
      </c>
      <c r="W27" s="134">
        <f t="shared" si="4"/>
        <v>1</v>
      </c>
      <c r="X27" s="178">
        <f t="shared" si="4"/>
        <v>1</v>
      </c>
      <c r="Y27" s="50">
        <f t="shared" si="1"/>
        <v>1</v>
      </c>
      <c r="Z27" s="179" t="s">
        <v>395</v>
      </c>
      <c r="AA27" s="153" t="s">
        <v>293</v>
      </c>
      <c r="AB27" s="141"/>
      <c r="AC27" s="141"/>
      <c r="AD27" s="142"/>
      <c r="AE27" s="108"/>
    </row>
    <row r="28" spans="3:31" ht="176.25" customHeight="1" thickBot="1" x14ac:dyDescent="0.3">
      <c r="C28" s="700"/>
      <c r="D28" s="703"/>
      <c r="E28" s="793"/>
      <c r="F28" s="726"/>
      <c r="G28" s="710"/>
      <c r="H28" s="713"/>
      <c r="I28" s="740"/>
      <c r="J28" s="743"/>
      <c r="K28" s="713"/>
      <c r="L28" s="746"/>
      <c r="M28" s="768"/>
      <c r="N28" s="188" t="s">
        <v>98</v>
      </c>
      <c r="O28" s="133" t="s">
        <v>354</v>
      </c>
      <c r="P28" s="132" t="s">
        <v>99</v>
      </c>
      <c r="Q28" s="133" t="s">
        <v>100</v>
      </c>
      <c r="R28" s="134" t="s">
        <v>101</v>
      </c>
      <c r="S28" s="134" t="s">
        <v>42</v>
      </c>
      <c r="T28" s="151">
        <v>1</v>
      </c>
      <c r="U28" s="151">
        <v>1</v>
      </c>
      <c r="V28" s="50">
        <f t="shared" si="0"/>
        <v>1</v>
      </c>
      <c r="W28" s="151">
        <f t="shared" si="4"/>
        <v>1</v>
      </c>
      <c r="X28" s="151">
        <f t="shared" si="4"/>
        <v>1</v>
      </c>
      <c r="Y28" s="50">
        <f t="shared" si="1"/>
        <v>1</v>
      </c>
      <c r="Z28" s="152" t="s">
        <v>397</v>
      </c>
      <c r="AA28" s="153" t="s">
        <v>292</v>
      </c>
      <c r="AB28" s="141"/>
      <c r="AC28" s="141"/>
      <c r="AD28" s="142"/>
      <c r="AE28" s="108"/>
    </row>
    <row r="29" spans="3:31" ht="255" customHeight="1" thickBot="1" x14ac:dyDescent="0.3">
      <c r="C29" s="700"/>
      <c r="D29" s="703"/>
      <c r="E29" s="793"/>
      <c r="F29" s="726"/>
      <c r="G29" s="710"/>
      <c r="H29" s="713"/>
      <c r="I29" s="740"/>
      <c r="J29" s="743"/>
      <c r="K29" s="713"/>
      <c r="L29" s="746"/>
      <c r="M29" s="768"/>
      <c r="N29" s="189" t="s">
        <v>102</v>
      </c>
      <c r="O29" s="160" t="s">
        <v>355</v>
      </c>
      <c r="P29" s="132" t="s">
        <v>103</v>
      </c>
      <c r="Q29" s="133" t="s">
        <v>104</v>
      </c>
      <c r="R29" s="134" t="s">
        <v>105</v>
      </c>
      <c r="S29" s="134" t="s">
        <v>42</v>
      </c>
      <c r="T29" s="151">
        <v>12</v>
      </c>
      <c r="U29" s="151">
        <v>10</v>
      </c>
      <c r="V29" s="50">
        <f t="shared" si="0"/>
        <v>0.83333333333333337</v>
      </c>
      <c r="W29" s="151">
        <f t="shared" si="4"/>
        <v>12</v>
      </c>
      <c r="X29" s="151">
        <f t="shared" si="4"/>
        <v>10</v>
      </c>
      <c r="Y29" s="50">
        <f t="shared" si="1"/>
        <v>0.83333333333333337</v>
      </c>
      <c r="Z29" s="152" t="s">
        <v>398</v>
      </c>
      <c r="AA29" s="163" t="s">
        <v>292</v>
      </c>
      <c r="AB29" s="141"/>
      <c r="AC29" s="141"/>
      <c r="AD29" s="142"/>
      <c r="AE29" s="108"/>
    </row>
    <row r="30" spans="3:31" ht="179.25" customHeight="1" thickBot="1" x14ac:dyDescent="0.3">
      <c r="C30" s="700"/>
      <c r="D30" s="703"/>
      <c r="E30" s="793"/>
      <c r="F30" s="726"/>
      <c r="G30" s="711"/>
      <c r="H30" s="714"/>
      <c r="I30" s="741"/>
      <c r="J30" s="744"/>
      <c r="K30" s="714"/>
      <c r="L30" s="747"/>
      <c r="M30" s="719"/>
      <c r="N30" s="172" t="s">
        <v>326</v>
      </c>
      <c r="O30" s="133" t="s">
        <v>107</v>
      </c>
      <c r="P30" s="132" t="s">
        <v>327</v>
      </c>
      <c r="Q30" s="133" t="s">
        <v>109</v>
      </c>
      <c r="R30" s="134" t="s">
        <v>328</v>
      </c>
      <c r="S30" s="134" t="s">
        <v>42</v>
      </c>
      <c r="T30" s="151">
        <v>5</v>
      </c>
      <c r="U30" s="151">
        <v>0</v>
      </c>
      <c r="V30" s="50">
        <f>+U30/T30</f>
        <v>0</v>
      </c>
      <c r="W30" s="151">
        <f>+T30</f>
        <v>5</v>
      </c>
      <c r="X30" s="151">
        <f>+U30</f>
        <v>0</v>
      </c>
      <c r="Y30" s="50">
        <f t="shared" si="1"/>
        <v>0</v>
      </c>
      <c r="Z30" s="152" t="s">
        <v>386</v>
      </c>
      <c r="AA30" s="153" t="s">
        <v>292</v>
      </c>
      <c r="AB30" s="141"/>
      <c r="AC30" s="141"/>
      <c r="AD30" s="142"/>
      <c r="AE30" s="108"/>
    </row>
    <row r="31" spans="3:31" ht="203.25" customHeight="1" thickBot="1" x14ac:dyDescent="0.3">
      <c r="C31" s="700"/>
      <c r="D31" s="703"/>
      <c r="E31" s="793"/>
      <c r="F31" s="726"/>
      <c r="G31" s="709">
        <v>304</v>
      </c>
      <c r="H31" s="712" t="s">
        <v>110</v>
      </c>
      <c r="I31" s="784">
        <v>0.1</v>
      </c>
      <c r="J31" s="742" t="s">
        <v>111</v>
      </c>
      <c r="K31" s="712" t="s">
        <v>290</v>
      </c>
      <c r="L31" s="745" t="s">
        <v>81</v>
      </c>
      <c r="M31" s="718">
        <v>1</v>
      </c>
      <c r="N31" s="172" t="s">
        <v>112</v>
      </c>
      <c r="O31" s="133" t="s">
        <v>113</v>
      </c>
      <c r="P31" s="132" t="s">
        <v>114</v>
      </c>
      <c r="Q31" s="133" t="s">
        <v>115</v>
      </c>
      <c r="R31" s="134" t="s">
        <v>116</v>
      </c>
      <c r="S31" s="134" t="s">
        <v>42</v>
      </c>
      <c r="T31" s="151">
        <v>0</v>
      </c>
      <c r="U31" s="151">
        <v>0</v>
      </c>
      <c r="V31" s="50" t="e">
        <f t="shared" si="0"/>
        <v>#DIV/0!</v>
      </c>
      <c r="W31" s="151">
        <f t="shared" ref="W31:X38" si="5">+T31</f>
        <v>0</v>
      </c>
      <c r="X31" s="151">
        <f t="shared" si="5"/>
        <v>0</v>
      </c>
      <c r="Y31" s="50" t="e">
        <f t="shared" si="1"/>
        <v>#DIV/0!</v>
      </c>
      <c r="Z31" s="152" t="s">
        <v>365</v>
      </c>
      <c r="AA31" s="153" t="s">
        <v>292</v>
      </c>
      <c r="AB31" s="141"/>
      <c r="AC31" s="141"/>
      <c r="AD31" s="142"/>
      <c r="AE31" s="108"/>
    </row>
    <row r="32" spans="3:31" ht="155.25" customHeight="1" thickBot="1" x14ac:dyDescent="0.3">
      <c r="C32" s="700"/>
      <c r="D32" s="703"/>
      <c r="E32" s="793"/>
      <c r="F32" s="726"/>
      <c r="G32" s="710"/>
      <c r="H32" s="713"/>
      <c r="I32" s="785"/>
      <c r="J32" s="743"/>
      <c r="K32" s="713"/>
      <c r="L32" s="746"/>
      <c r="M32" s="768"/>
      <c r="N32" s="732" t="s">
        <v>117</v>
      </c>
      <c r="O32" s="751" t="s">
        <v>118</v>
      </c>
      <c r="P32" s="132" t="s">
        <v>119</v>
      </c>
      <c r="Q32" s="133" t="s">
        <v>347</v>
      </c>
      <c r="R32" s="134" t="s">
        <v>348</v>
      </c>
      <c r="S32" s="134" t="s">
        <v>42</v>
      </c>
      <c r="T32" s="151">
        <v>0</v>
      </c>
      <c r="U32" s="151">
        <v>0</v>
      </c>
      <c r="V32" s="50" t="e">
        <f t="shared" si="0"/>
        <v>#DIV/0!</v>
      </c>
      <c r="W32" s="151">
        <f t="shared" si="5"/>
        <v>0</v>
      </c>
      <c r="X32" s="151">
        <f t="shared" si="5"/>
        <v>0</v>
      </c>
      <c r="Y32" s="50" t="e">
        <f t="shared" si="1"/>
        <v>#DIV/0!</v>
      </c>
      <c r="Z32" s="152" t="s">
        <v>295</v>
      </c>
      <c r="AA32" s="190" t="s">
        <v>399</v>
      </c>
      <c r="AB32" s="141"/>
      <c r="AC32" s="141"/>
      <c r="AD32" s="142"/>
      <c r="AE32" s="108"/>
    </row>
    <row r="33" spans="3:31" ht="219" customHeight="1" thickBot="1" x14ac:dyDescent="0.3">
      <c r="C33" s="700"/>
      <c r="D33" s="703"/>
      <c r="E33" s="793"/>
      <c r="F33" s="726"/>
      <c r="G33" s="711"/>
      <c r="H33" s="714"/>
      <c r="I33" s="786"/>
      <c r="J33" s="744"/>
      <c r="K33" s="714"/>
      <c r="L33" s="747"/>
      <c r="M33" s="719"/>
      <c r="N33" s="734"/>
      <c r="O33" s="731"/>
      <c r="P33" s="132" t="s">
        <v>120</v>
      </c>
      <c r="Q33" s="133" t="s">
        <v>121</v>
      </c>
      <c r="R33" s="134" t="s">
        <v>349</v>
      </c>
      <c r="S33" s="134" t="s">
        <v>42</v>
      </c>
      <c r="T33" s="151">
        <v>1</v>
      </c>
      <c r="U33" s="151">
        <v>0</v>
      </c>
      <c r="V33" s="50">
        <f t="shared" si="0"/>
        <v>0</v>
      </c>
      <c r="W33" s="151">
        <f t="shared" si="5"/>
        <v>1</v>
      </c>
      <c r="X33" s="151">
        <f t="shared" si="5"/>
        <v>0</v>
      </c>
      <c r="Y33" s="50">
        <f t="shared" si="1"/>
        <v>0</v>
      </c>
      <c r="Z33" s="152" t="s">
        <v>400</v>
      </c>
      <c r="AA33" s="191" t="s">
        <v>294</v>
      </c>
      <c r="AB33" s="141"/>
      <c r="AC33" s="141"/>
      <c r="AD33" s="142"/>
      <c r="AE33" s="108"/>
    </row>
    <row r="34" spans="3:31" ht="121.5" customHeight="1" thickBot="1" x14ac:dyDescent="0.3">
      <c r="C34" s="700"/>
      <c r="D34" s="703"/>
      <c r="E34" s="793"/>
      <c r="F34" s="726"/>
      <c r="G34" s="709">
        <v>305</v>
      </c>
      <c r="H34" s="712" t="s">
        <v>122</v>
      </c>
      <c r="I34" s="785">
        <v>0.1</v>
      </c>
      <c r="J34" s="192" t="s">
        <v>123</v>
      </c>
      <c r="K34" s="174" t="s">
        <v>124</v>
      </c>
      <c r="L34" s="193" t="s">
        <v>81</v>
      </c>
      <c r="M34" s="194">
        <v>0.3</v>
      </c>
      <c r="N34" s="732" t="s">
        <v>125</v>
      </c>
      <c r="O34" s="751" t="s">
        <v>126</v>
      </c>
      <c r="P34" s="146" t="s">
        <v>127</v>
      </c>
      <c r="Q34" s="133" t="s">
        <v>356</v>
      </c>
      <c r="R34" s="134" t="s">
        <v>128</v>
      </c>
      <c r="S34" s="134" t="s">
        <v>42</v>
      </c>
      <c r="T34" s="151">
        <v>2</v>
      </c>
      <c r="U34" s="151">
        <v>2</v>
      </c>
      <c r="V34" s="50">
        <f t="shared" si="0"/>
        <v>1</v>
      </c>
      <c r="W34" s="151">
        <f t="shared" si="5"/>
        <v>2</v>
      </c>
      <c r="X34" s="151">
        <f t="shared" si="5"/>
        <v>2</v>
      </c>
      <c r="Y34" s="50">
        <f t="shared" si="1"/>
        <v>1</v>
      </c>
      <c r="Z34" s="152" t="s">
        <v>401</v>
      </c>
      <c r="AA34" s="163" t="s">
        <v>292</v>
      </c>
      <c r="AB34" s="141"/>
      <c r="AC34" s="141"/>
      <c r="AD34" s="142"/>
      <c r="AE34" s="108"/>
    </row>
    <row r="35" spans="3:31" ht="261" customHeight="1" thickBot="1" x14ac:dyDescent="0.3">
      <c r="C35" s="700"/>
      <c r="D35" s="703"/>
      <c r="E35" s="793"/>
      <c r="F35" s="726"/>
      <c r="G35" s="710"/>
      <c r="H35" s="713"/>
      <c r="I35" s="785"/>
      <c r="J35" s="128" t="s">
        <v>129</v>
      </c>
      <c r="K35" s="144" t="s">
        <v>130</v>
      </c>
      <c r="L35" s="145" t="s">
        <v>81</v>
      </c>
      <c r="M35" s="146">
        <v>0.2</v>
      </c>
      <c r="N35" s="733"/>
      <c r="O35" s="730"/>
      <c r="P35" s="132" t="s">
        <v>131</v>
      </c>
      <c r="Q35" s="133" t="s">
        <v>132</v>
      </c>
      <c r="R35" s="134" t="s">
        <v>133</v>
      </c>
      <c r="S35" s="134" t="s">
        <v>42</v>
      </c>
      <c r="T35" s="151">
        <v>6</v>
      </c>
      <c r="U35" s="151">
        <v>3</v>
      </c>
      <c r="V35" s="50">
        <f t="shared" si="0"/>
        <v>0.5</v>
      </c>
      <c r="W35" s="151">
        <f t="shared" si="5"/>
        <v>6</v>
      </c>
      <c r="X35" s="151">
        <f t="shared" si="5"/>
        <v>3</v>
      </c>
      <c r="Y35" s="50">
        <f t="shared" si="1"/>
        <v>0.5</v>
      </c>
      <c r="Z35" s="152" t="s">
        <v>372</v>
      </c>
      <c r="AA35" s="195"/>
      <c r="AB35" s="141"/>
      <c r="AC35" s="141"/>
      <c r="AD35" s="142"/>
      <c r="AE35" s="108"/>
    </row>
    <row r="36" spans="3:31" ht="110.25" customHeight="1" thickBot="1" x14ac:dyDescent="0.3">
      <c r="C36" s="700"/>
      <c r="D36" s="703"/>
      <c r="E36" s="793"/>
      <c r="F36" s="726"/>
      <c r="G36" s="710"/>
      <c r="H36" s="713"/>
      <c r="I36" s="785"/>
      <c r="J36" s="148" t="s">
        <v>134</v>
      </c>
      <c r="K36" s="149" t="s">
        <v>135</v>
      </c>
      <c r="L36" s="150" t="s">
        <v>81</v>
      </c>
      <c r="M36" s="132">
        <v>0.2</v>
      </c>
      <c r="N36" s="734"/>
      <c r="O36" s="731"/>
      <c r="P36" s="159" t="s">
        <v>136</v>
      </c>
      <c r="Q36" s="160" t="s">
        <v>137</v>
      </c>
      <c r="R36" s="134" t="s">
        <v>137</v>
      </c>
      <c r="S36" s="134" t="s">
        <v>42</v>
      </c>
      <c r="T36" s="151">
        <v>57</v>
      </c>
      <c r="U36" s="151">
        <v>23</v>
      </c>
      <c r="V36" s="50">
        <f t="shared" si="0"/>
        <v>0.40350877192982454</v>
      </c>
      <c r="W36" s="151">
        <f t="shared" si="5"/>
        <v>57</v>
      </c>
      <c r="X36" s="151">
        <f t="shared" si="5"/>
        <v>23</v>
      </c>
      <c r="Y36" s="50">
        <f t="shared" si="1"/>
        <v>0.40350877192982454</v>
      </c>
      <c r="Z36" s="152" t="s">
        <v>370</v>
      </c>
      <c r="AA36" s="153" t="s">
        <v>293</v>
      </c>
      <c r="AB36" s="141"/>
      <c r="AC36" s="141"/>
      <c r="AD36" s="142"/>
      <c r="AE36" s="108"/>
    </row>
    <row r="37" spans="3:31" ht="180.75" customHeight="1" thickBot="1" x14ac:dyDescent="0.3">
      <c r="C37" s="700"/>
      <c r="D37" s="703"/>
      <c r="E37" s="793"/>
      <c r="F37" s="726"/>
      <c r="G37" s="711"/>
      <c r="H37" s="714"/>
      <c r="I37" s="786"/>
      <c r="J37" s="148" t="s">
        <v>138</v>
      </c>
      <c r="K37" s="144" t="s">
        <v>139</v>
      </c>
      <c r="L37" s="150" t="s">
        <v>81</v>
      </c>
      <c r="M37" s="146">
        <v>0.3</v>
      </c>
      <c r="N37" s="189" t="s">
        <v>140</v>
      </c>
      <c r="O37" s="160" t="s">
        <v>141</v>
      </c>
      <c r="P37" s="159" t="s">
        <v>142</v>
      </c>
      <c r="Q37" s="133" t="s">
        <v>357</v>
      </c>
      <c r="R37" s="134" t="s">
        <v>143</v>
      </c>
      <c r="S37" s="134" t="s">
        <v>42</v>
      </c>
      <c r="T37" s="151">
        <v>0</v>
      </c>
      <c r="U37" s="151">
        <v>0</v>
      </c>
      <c r="V37" s="50" t="e">
        <f t="shared" si="0"/>
        <v>#DIV/0!</v>
      </c>
      <c r="W37" s="151">
        <f t="shared" si="5"/>
        <v>0</v>
      </c>
      <c r="X37" s="151">
        <f t="shared" si="5"/>
        <v>0</v>
      </c>
      <c r="Y37" s="50" t="e">
        <f t="shared" si="1"/>
        <v>#DIV/0!</v>
      </c>
      <c r="Z37" s="152" t="s">
        <v>369</v>
      </c>
      <c r="AA37" s="190" t="s">
        <v>371</v>
      </c>
      <c r="AB37" s="141"/>
      <c r="AC37" s="141"/>
      <c r="AD37" s="142"/>
      <c r="AE37" s="108"/>
    </row>
    <row r="38" spans="3:31" ht="62.25" customHeight="1" thickBot="1" x14ac:dyDescent="0.3">
      <c r="C38" s="700"/>
      <c r="D38" s="703"/>
      <c r="E38" s="793"/>
      <c r="F38" s="726"/>
      <c r="G38" s="709">
        <v>306</v>
      </c>
      <c r="H38" s="712" t="s">
        <v>284</v>
      </c>
      <c r="I38" s="784">
        <v>0.05</v>
      </c>
      <c r="J38" s="128" t="s">
        <v>144</v>
      </c>
      <c r="K38" s="144" t="s">
        <v>145</v>
      </c>
      <c r="L38" s="150" t="s">
        <v>81</v>
      </c>
      <c r="M38" s="146">
        <v>0.35</v>
      </c>
      <c r="N38" s="732" t="s">
        <v>146</v>
      </c>
      <c r="O38" s="751" t="s">
        <v>147</v>
      </c>
      <c r="P38" s="718" t="s">
        <v>148</v>
      </c>
      <c r="Q38" s="751" t="s">
        <v>149</v>
      </c>
      <c r="R38" s="752" t="s">
        <v>150</v>
      </c>
      <c r="S38" s="752" t="s">
        <v>42</v>
      </c>
      <c r="T38" s="776">
        <v>0</v>
      </c>
      <c r="U38" s="776">
        <v>0</v>
      </c>
      <c r="V38" s="769" t="e">
        <f t="shared" si="0"/>
        <v>#DIV/0!</v>
      </c>
      <c r="W38" s="776">
        <f t="shared" si="5"/>
        <v>0</v>
      </c>
      <c r="X38" s="776">
        <f t="shared" si="5"/>
        <v>0</v>
      </c>
      <c r="Y38" s="769" t="e">
        <f t="shared" si="1"/>
        <v>#DIV/0!</v>
      </c>
      <c r="Z38" s="780" t="s">
        <v>369</v>
      </c>
      <c r="AA38" s="787" t="s">
        <v>402</v>
      </c>
      <c r="AB38" s="141"/>
      <c r="AC38" s="141"/>
      <c r="AD38" s="142"/>
      <c r="AE38" s="108"/>
    </row>
    <row r="39" spans="3:31" ht="64.5" customHeight="1" thickBot="1" x14ac:dyDescent="0.3">
      <c r="C39" s="700"/>
      <c r="D39" s="703"/>
      <c r="E39" s="793"/>
      <c r="F39" s="726"/>
      <c r="G39" s="710"/>
      <c r="H39" s="713"/>
      <c r="I39" s="785"/>
      <c r="J39" s="148" t="s">
        <v>151</v>
      </c>
      <c r="K39" s="149" t="s">
        <v>152</v>
      </c>
      <c r="L39" s="150" t="s">
        <v>81</v>
      </c>
      <c r="M39" s="132">
        <v>0.35</v>
      </c>
      <c r="N39" s="733"/>
      <c r="O39" s="730"/>
      <c r="P39" s="768"/>
      <c r="Q39" s="730"/>
      <c r="R39" s="783"/>
      <c r="S39" s="783"/>
      <c r="T39" s="777"/>
      <c r="U39" s="777"/>
      <c r="V39" s="779"/>
      <c r="W39" s="777"/>
      <c r="X39" s="777"/>
      <c r="Y39" s="779"/>
      <c r="Z39" s="781"/>
      <c r="AA39" s="787"/>
      <c r="AB39" s="141"/>
      <c r="AC39" s="141"/>
      <c r="AD39" s="142"/>
      <c r="AE39" s="108"/>
    </row>
    <row r="40" spans="3:31" ht="98.25" customHeight="1" thickBot="1" x14ac:dyDescent="0.3">
      <c r="C40" s="700"/>
      <c r="D40" s="703"/>
      <c r="E40" s="793"/>
      <c r="F40" s="726"/>
      <c r="G40" s="711"/>
      <c r="H40" s="714"/>
      <c r="I40" s="786"/>
      <c r="J40" s="196" t="s">
        <v>153</v>
      </c>
      <c r="K40" s="177" t="s">
        <v>154</v>
      </c>
      <c r="L40" s="193" t="s">
        <v>81</v>
      </c>
      <c r="M40" s="159">
        <v>0.3</v>
      </c>
      <c r="N40" s="734"/>
      <c r="O40" s="731"/>
      <c r="P40" s="719"/>
      <c r="Q40" s="731"/>
      <c r="R40" s="753"/>
      <c r="S40" s="753"/>
      <c r="T40" s="778"/>
      <c r="U40" s="778"/>
      <c r="V40" s="770"/>
      <c r="W40" s="778"/>
      <c r="X40" s="778"/>
      <c r="Y40" s="770"/>
      <c r="Z40" s="782"/>
      <c r="AA40" s="788"/>
      <c r="AB40" s="141"/>
      <c r="AC40" s="141"/>
      <c r="AD40" s="142"/>
      <c r="AE40" s="108"/>
    </row>
    <row r="41" spans="3:31" ht="140.25" customHeight="1" thickBot="1" x14ac:dyDescent="0.3">
      <c r="C41" s="700"/>
      <c r="D41" s="703"/>
      <c r="E41" s="793"/>
      <c r="F41" s="726"/>
      <c r="G41" s="709">
        <v>307</v>
      </c>
      <c r="H41" s="712" t="s">
        <v>285</v>
      </c>
      <c r="I41" s="784">
        <v>0.1</v>
      </c>
      <c r="J41" s="197" t="s">
        <v>155</v>
      </c>
      <c r="K41" s="198" t="s">
        <v>156</v>
      </c>
      <c r="L41" s="199" t="s">
        <v>81</v>
      </c>
      <c r="M41" s="154">
        <v>0.5</v>
      </c>
      <c r="N41" s="172" t="s">
        <v>160</v>
      </c>
      <c r="O41" s="133" t="s">
        <v>346</v>
      </c>
      <c r="P41" s="172" t="s">
        <v>161</v>
      </c>
      <c r="Q41" s="133" t="s">
        <v>162</v>
      </c>
      <c r="R41" s="134" t="s">
        <v>163</v>
      </c>
      <c r="S41" s="134" t="s">
        <v>164</v>
      </c>
      <c r="T41" s="200">
        <v>0.44</v>
      </c>
      <c r="U41" s="200">
        <v>0</v>
      </c>
      <c r="V41" s="50">
        <f t="shared" si="0"/>
        <v>0</v>
      </c>
      <c r="W41" s="201">
        <f t="shared" ref="W41:X56" si="6">+T41</f>
        <v>0.44</v>
      </c>
      <c r="X41" s="201">
        <f t="shared" si="6"/>
        <v>0</v>
      </c>
      <c r="Y41" s="50">
        <f t="shared" si="1"/>
        <v>0</v>
      </c>
      <c r="Z41" s="202" t="s">
        <v>296</v>
      </c>
      <c r="AA41" s="789" t="s">
        <v>394</v>
      </c>
      <c r="AB41" s="141"/>
      <c r="AC41" s="141"/>
      <c r="AD41" s="142"/>
      <c r="AE41" s="108"/>
    </row>
    <row r="42" spans="3:31" ht="156" customHeight="1" thickBot="1" x14ac:dyDescent="0.3">
      <c r="C42" s="700"/>
      <c r="D42" s="703"/>
      <c r="E42" s="793"/>
      <c r="F42" s="726"/>
      <c r="G42" s="710"/>
      <c r="H42" s="713"/>
      <c r="I42" s="785"/>
      <c r="J42" s="742" t="s">
        <v>165</v>
      </c>
      <c r="K42" s="712" t="s">
        <v>291</v>
      </c>
      <c r="L42" s="745" t="s">
        <v>81</v>
      </c>
      <c r="M42" s="718">
        <v>0.5</v>
      </c>
      <c r="N42" s="189" t="s">
        <v>157</v>
      </c>
      <c r="O42" s="160" t="s">
        <v>344</v>
      </c>
      <c r="P42" s="132" t="s">
        <v>158</v>
      </c>
      <c r="Q42" s="133" t="s">
        <v>345</v>
      </c>
      <c r="R42" s="134" t="s">
        <v>159</v>
      </c>
      <c r="S42" s="134" t="s">
        <v>42</v>
      </c>
      <c r="T42" s="151">
        <v>0</v>
      </c>
      <c r="U42" s="151">
        <v>0</v>
      </c>
      <c r="V42" s="50" t="e">
        <f t="shared" si="0"/>
        <v>#DIV/0!</v>
      </c>
      <c r="W42" s="203">
        <f t="shared" si="6"/>
        <v>0</v>
      </c>
      <c r="X42" s="203">
        <f t="shared" si="6"/>
        <v>0</v>
      </c>
      <c r="Y42" s="50" t="e">
        <f t="shared" si="1"/>
        <v>#DIV/0!</v>
      </c>
      <c r="Z42" s="204" t="s">
        <v>296</v>
      </c>
      <c r="AA42" s="790"/>
      <c r="AB42" s="141"/>
      <c r="AC42" s="141"/>
      <c r="AD42" s="142"/>
      <c r="AE42" s="108"/>
    </row>
    <row r="43" spans="3:31" ht="130.5" customHeight="1" thickBot="1" x14ac:dyDescent="0.3">
      <c r="C43" s="700"/>
      <c r="D43" s="703"/>
      <c r="E43" s="793"/>
      <c r="F43" s="726"/>
      <c r="G43" s="710"/>
      <c r="H43" s="713"/>
      <c r="I43" s="785"/>
      <c r="J43" s="743"/>
      <c r="K43" s="713"/>
      <c r="L43" s="746"/>
      <c r="M43" s="768"/>
      <c r="N43" s="732" t="s">
        <v>166</v>
      </c>
      <c r="O43" s="751" t="s">
        <v>167</v>
      </c>
      <c r="P43" s="132" t="s">
        <v>168</v>
      </c>
      <c r="Q43" s="133" t="s">
        <v>350</v>
      </c>
      <c r="R43" s="134" t="s">
        <v>169</v>
      </c>
      <c r="S43" s="134" t="s">
        <v>42</v>
      </c>
      <c r="T43" s="151">
        <v>0</v>
      </c>
      <c r="U43" s="151">
        <v>0</v>
      </c>
      <c r="V43" s="50" t="e">
        <f t="shared" si="0"/>
        <v>#DIV/0!</v>
      </c>
      <c r="W43" s="151">
        <f t="shared" si="6"/>
        <v>0</v>
      </c>
      <c r="X43" s="151">
        <f t="shared" si="6"/>
        <v>0</v>
      </c>
      <c r="Y43" s="50" t="e">
        <f t="shared" si="1"/>
        <v>#DIV/0!</v>
      </c>
      <c r="Z43" s="152" t="s">
        <v>367</v>
      </c>
      <c r="AA43" s="153" t="s">
        <v>293</v>
      </c>
      <c r="AB43" s="141"/>
      <c r="AC43" s="141"/>
      <c r="AD43" s="142"/>
      <c r="AE43" s="108"/>
    </row>
    <row r="44" spans="3:31" ht="222" customHeight="1" thickBot="1" x14ac:dyDescent="0.3">
      <c r="C44" s="700"/>
      <c r="D44" s="703"/>
      <c r="E44" s="205"/>
      <c r="F44" s="206"/>
      <c r="G44" s="711"/>
      <c r="H44" s="714"/>
      <c r="I44" s="786"/>
      <c r="J44" s="744"/>
      <c r="K44" s="714"/>
      <c r="L44" s="747"/>
      <c r="M44" s="719"/>
      <c r="N44" s="734"/>
      <c r="O44" s="731"/>
      <c r="P44" s="132" t="s">
        <v>170</v>
      </c>
      <c r="Q44" s="133" t="s">
        <v>171</v>
      </c>
      <c r="R44" s="134" t="s">
        <v>169</v>
      </c>
      <c r="S44" s="134" t="s">
        <v>42</v>
      </c>
      <c r="T44" s="151">
        <v>1</v>
      </c>
      <c r="U44" s="151">
        <v>1</v>
      </c>
      <c r="V44" s="50">
        <f t="shared" si="0"/>
        <v>1</v>
      </c>
      <c r="W44" s="151">
        <f t="shared" si="6"/>
        <v>1</v>
      </c>
      <c r="X44" s="151">
        <f t="shared" si="6"/>
        <v>1</v>
      </c>
      <c r="Y44" s="50">
        <f t="shared" si="1"/>
        <v>1</v>
      </c>
      <c r="Z44" s="207" t="s">
        <v>380</v>
      </c>
      <c r="AA44" s="163" t="s">
        <v>292</v>
      </c>
      <c r="AB44" s="141"/>
      <c r="AC44" s="141"/>
      <c r="AD44" s="142"/>
      <c r="AE44" s="108"/>
    </row>
    <row r="45" spans="3:31" ht="178.5" customHeight="1" thickBot="1" x14ac:dyDescent="0.3">
      <c r="C45" s="700"/>
      <c r="D45" s="703"/>
      <c r="E45" s="205"/>
      <c r="F45" s="206"/>
      <c r="G45" s="709">
        <v>308</v>
      </c>
      <c r="H45" s="712" t="s">
        <v>172</v>
      </c>
      <c r="I45" s="784">
        <v>0.1</v>
      </c>
      <c r="J45" s="128" t="s">
        <v>173</v>
      </c>
      <c r="K45" s="144" t="s">
        <v>174</v>
      </c>
      <c r="L45" s="145" t="s">
        <v>81</v>
      </c>
      <c r="M45" s="146">
        <v>0.5</v>
      </c>
      <c r="N45" s="732" t="s">
        <v>175</v>
      </c>
      <c r="O45" s="751" t="s">
        <v>312</v>
      </c>
      <c r="P45" s="132" t="s">
        <v>180</v>
      </c>
      <c r="Q45" s="133" t="s">
        <v>316</v>
      </c>
      <c r="R45" s="134" t="s">
        <v>314</v>
      </c>
      <c r="S45" s="134" t="s">
        <v>164</v>
      </c>
      <c r="T45" s="178">
        <v>0.105</v>
      </c>
      <c r="U45" s="178">
        <v>0.105</v>
      </c>
      <c r="V45" s="50">
        <f t="shared" si="0"/>
        <v>1</v>
      </c>
      <c r="W45" s="201">
        <f t="shared" si="6"/>
        <v>0.105</v>
      </c>
      <c r="X45" s="201">
        <f t="shared" si="6"/>
        <v>0.105</v>
      </c>
      <c r="Y45" s="50">
        <f t="shared" si="1"/>
        <v>1</v>
      </c>
      <c r="Z45" s="179" t="s">
        <v>403</v>
      </c>
      <c r="AA45" s="153" t="s">
        <v>292</v>
      </c>
      <c r="AB45" s="141"/>
      <c r="AC45" s="141"/>
      <c r="AD45" s="147"/>
      <c r="AE45" s="108"/>
    </row>
    <row r="46" spans="3:31" ht="119.25" customHeight="1" thickBot="1" x14ac:dyDescent="0.3">
      <c r="C46" s="700"/>
      <c r="D46" s="703"/>
      <c r="E46" s="205"/>
      <c r="F46" s="206"/>
      <c r="G46" s="710"/>
      <c r="H46" s="713"/>
      <c r="I46" s="785"/>
      <c r="J46" s="742" t="s">
        <v>177</v>
      </c>
      <c r="K46" s="712" t="s">
        <v>178</v>
      </c>
      <c r="L46" s="745" t="s">
        <v>81</v>
      </c>
      <c r="M46" s="718">
        <v>0.5</v>
      </c>
      <c r="N46" s="733"/>
      <c r="O46" s="730"/>
      <c r="P46" s="132" t="s">
        <v>179</v>
      </c>
      <c r="Q46" s="133" t="s">
        <v>313</v>
      </c>
      <c r="R46" s="134" t="s">
        <v>314</v>
      </c>
      <c r="S46" s="134" t="s">
        <v>164</v>
      </c>
      <c r="T46" s="201">
        <v>0</v>
      </c>
      <c r="U46" s="201">
        <v>0</v>
      </c>
      <c r="V46" s="50" t="e">
        <f t="shared" si="0"/>
        <v>#DIV/0!</v>
      </c>
      <c r="W46" s="200">
        <f t="shared" si="6"/>
        <v>0</v>
      </c>
      <c r="X46" s="200">
        <f t="shared" si="6"/>
        <v>0</v>
      </c>
      <c r="Y46" s="50" t="e">
        <f t="shared" si="1"/>
        <v>#DIV/0!</v>
      </c>
      <c r="Z46" s="152" t="s">
        <v>295</v>
      </c>
      <c r="AA46" s="208"/>
      <c r="AB46" s="141"/>
      <c r="AC46" s="141"/>
      <c r="AD46" s="147"/>
      <c r="AE46" s="108"/>
    </row>
    <row r="47" spans="3:31" ht="147.75" customHeight="1" thickBot="1" x14ac:dyDescent="0.3">
      <c r="C47" s="700"/>
      <c r="D47" s="703"/>
      <c r="E47" s="205"/>
      <c r="F47" s="206"/>
      <c r="G47" s="710"/>
      <c r="H47" s="713"/>
      <c r="I47" s="785"/>
      <c r="J47" s="743"/>
      <c r="K47" s="713"/>
      <c r="L47" s="746"/>
      <c r="M47" s="768"/>
      <c r="N47" s="733"/>
      <c r="O47" s="730"/>
      <c r="P47" s="132" t="s">
        <v>176</v>
      </c>
      <c r="Q47" s="133" t="s">
        <v>315</v>
      </c>
      <c r="R47" s="134" t="s">
        <v>314</v>
      </c>
      <c r="S47" s="134" t="s">
        <v>164</v>
      </c>
      <c r="T47" s="134">
        <v>0</v>
      </c>
      <c r="U47" s="134">
        <v>0</v>
      </c>
      <c r="V47" s="50" t="e">
        <f t="shared" si="0"/>
        <v>#DIV/0!</v>
      </c>
      <c r="W47" s="134">
        <f t="shared" si="6"/>
        <v>0</v>
      </c>
      <c r="X47" s="134">
        <f t="shared" si="6"/>
        <v>0</v>
      </c>
      <c r="Y47" s="50" t="e">
        <f t="shared" si="1"/>
        <v>#DIV/0!</v>
      </c>
      <c r="Z47" s="152" t="s">
        <v>295</v>
      </c>
      <c r="AA47" s="209"/>
      <c r="AB47" s="141"/>
      <c r="AC47" s="141"/>
      <c r="AD47" s="142"/>
      <c r="AE47" s="108"/>
    </row>
    <row r="48" spans="3:31" ht="155.25" customHeight="1" thickBot="1" x14ac:dyDescent="0.3">
      <c r="C48" s="700"/>
      <c r="D48" s="703"/>
      <c r="E48" s="205"/>
      <c r="F48" s="206"/>
      <c r="G48" s="710"/>
      <c r="H48" s="713"/>
      <c r="I48" s="785"/>
      <c r="J48" s="743"/>
      <c r="K48" s="713"/>
      <c r="L48" s="746"/>
      <c r="M48" s="768"/>
      <c r="N48" s="733"/>
      <c r="O48" s="730"/>
      <c r="P48" s="132" t="s">
        <v>183</v>
      </c>
      <c r="Q48" s="160" t="s">
        <v>181</v>
      </c>
      <c r="R48" s="210" t="s">
        <v>317</v>
      </c>
      <c r="S48" s="210" t="s">
        <v>182</v>
      </c>
      <c r="T48" s="210">
        <v>1</v>
      </c>
      <c r="U48" s="210">
        <v>1</v>
      </c>
      <c r="V48" s="50">
        <f>+U48/T48</f>
        <v>1</v>
      </c>
      <c r="W48" s="210">
        <f t="shared" si="6"/>
        <v>1</v>
      </c>
      <c r="X48" s="210">
        <f t="shared" si="6"/>
        <v>1</v>
      </c>
      <c r="Y48" s="50">
        <f>+X48/W48</f>
        <v>1</v>
      </c>
      <c r="Z48" s="211" t="s">
        <v>381</v>
      </c>
      <c r="AA48" s="163" t="s">
        <v>366</v>
      </c>
      <c r="AB48" s="141"/>
      <c r="AC48" s="141"/>
      <c r="AD48" s="142"/>
      <c r="AE48" s="108"/>
    </row>
    <row r="49" spans="3:31" ht="155.25" customHeight="1" thickBot="1" x14ac:dyDescent="0.3">
      <c r="C49" s="700"/>
      <c r="D49" s="703"/>
      <c r="E49" s="205"/>
      <c r="F49" s="206"/>
      <c r="G49" s="710"/>
      <c r="H49" s="713"/>
      <c r="I49" s="785"/>
      <c r="J49" s="743"/>
      <c r="K49" s="713"/>
      <c r="L49" s="746"/>
      <c r="M49" s="768"/>
      <c r="N49" s="734"/>
      <c r="O49" s="731"/>
      <c r="P49" s="159" t="s">
        <v>318</v>
      </c>
      <c r="Q49" s="160" t="s">
        <v>184</v>
      </c>
      <c r="R49" s="210" t="s">
        <v>319</v>
      </c>
      <c r="S49" s="210" t="s">
        <v>182</v>
      </c>
      <c r="T49" s="210">
        <v>1</v>
      </c>
      <c r="U49" s="210">
        <v>1</v>
      </c>
      <c r="V49" s="50">
        <f>+U49/T49</f>
        <v>1</v>
      </c>
      <c r="W49" s="210">
        <f t="shared" si="6"/>
        <v>1</v>
      </c>
      <c r="X49" s="210">
        <f t="shared" si="6"/>
        <v>1</v>
      </c>
      <c r="Y49" s="50">
        <f>+X49/W49</f>
        <v>1</v>
      </c>
      <c r="Z49" s="211" t="s">
        <v>382</v>
      </c>
      <c r="AA49" s="163" t="s">
        <v>292</v>
      </c>
      <c r="AB49" s="141"/>
      <c r="AC49" s="141"/>
      <c r="AD49" s="142"/>
      <c r="AE49" s="108"/>
    </row>
    <row r="50" spans="3:31" ht="241.5" customHeight="1" thickBot="1" x14ac:dyDescent="0.3">
      <c r="C50" s="700"/>
      <c r="D50" s="703"/>
      <c r="E50" s="205"/>
      <c r="F50" s="206"/>
      <c r="G50" s="710"/>
      <c r="H50" s="713"/>
      <c r="I50" s="785"/>
      <c r="J50" s="743"/>
      <c r="K50" s="713"/>
      <c r="L50" s="746"/>
      <c r="M50" s="768"/>
      <c r="N50" s="189" t="s">
        <v>185</v>
      </c>
      <c r="O50" s="160" t="s">
        <v>186</v>
      </c>
      <c r="P50" s="159" t="s">
        <v>187</v>
      </c>
      <c r="Q50" s="160" t="s">
        <v>320</v>
      </c>
      <c r="R50" s="210" t="s">
        <v>314</v>
      </c>
      <c r="S50" s="210" t="s">
        <v>164</v>
      </c>
      <c r="T50" s="212">
        <v>0.5</v>
      </c>
      <c r="U50" s="212">
        <v>0.5</v>
      </c>
      <c r="V50" s="50">
        <f>+U50/T50</f>
        <v>1</v>
      </c>
      <c r="W50" s="213">
        <f t="shared" si="6"/>
        <v>0.5</v>
      </c>
      <c r="X50" s="213">
        <f t="shared" si="6"/>
        <v>0.5</v>
      </c>
      <c r="Y50" s="50">
        <f t="shared" si="1"/>
        <v>1</v>
      </c>
      <c r="Z50" s="207" t="s">
        <v>383</v>
      </c>
      <c r="AA50" s="163" t="s">
        <v>292</v>
      </c>
      <c r="AB50" s="141"/>
      <c r="AC50" s="141"/>
      <c r="AD50" s="142"/>
      <c r="AE50" s="108"/>
    </row>
    <row r="51" spans="3:31" ht="159.75" customHeight="1" thickBot="1" x14ac:dyDescent="0.3">
      <c r="C51" s="700"/>
      <c r="D51" s="703"/>
      <c r="E51" s="205"/>
      <c r="F51" s="206"/>
      <c r="G51" s="710"/>
      <c r="H51" s="713"/>
      <c r="I51" s="785"/>
      <c r="J51" s="743"/>
      <c r="K51" s="713"/>
      <c r="L51" s="746"/>
      <c r="M51" s="768"/>
      <c r="N51" s="172" t="s">
        <v>188</v>
      </c>
      <c r="O51" s="133" t="s">
        <v>321</v>
      </c>
      <c r="P51" s="132" t="s">
        <v>189</v>
      </c>
      <c r="Q51" s="133" t="s">
        <v>378</v>
      </c>
      <c r="R51" s="134" t="s">
        <v>314</v>
      </c>
      <c r="S51" s="134" t="s">
        <v>164</v>
      </c>
      <c r="T51" s="200">
        <v>0</v>
      </c>
      <c r="U51" s="200">
        <v>0</v>
      </c>
      <c r="V51" s="50" t="e">
        <f t="shared" si="0"/>
        <v>#DIV/0!</v>
      </c>
      <c r="W51" s="201">
        <f t="shared" si="6"/>
        <v>0</v>
      </c>
      <c r="X51" s="201">
        <f t="shared" si="6"/>
        <v>0</v>
      </c>
      <c r="Y51" s="50" t="e">
        <f t="shared" si="1"/>
        <v>#DIV/0!</v>
      </c>
      <c r="Z51" s="152" t="s">
        <v>384</v>
      </c>
      <c r="AA51" s="153" t="s">
        <v>292</v>
      </c>
      <c r="AB51" s="141"/>
      <c r="AC51" s="141"/>
      <c r="AD51" s="142"/>
      <c r="AE51" s="108"/>
    </row>
    <row r="52" spans="3:31" ht="137.25" customHeight="1" thickBot="1" x14ac:dyDescent="0.3">
      <c r="C52" s="700"/>
      <c r="D52" s="703"/>
      <c r="E52" s="205"/>
      <c r="F52" s="206"/>
      <c r="G52" s="711"/>
      <c r="H52" s="714"/>
      <c r="I52" s="786"/>
      <c r="J52" s="744"/>
      <c r="K52" s="714"/>
      <c r="L52" s="747"/>
      <c r="M52" s="719"/>
      <c r="N52" s="172" t="s">
        <v>190</v>
      </c>
      <c r="O52" s="133" t="s">
        <v>322</v>
      </c>
      <c r="P52" s="132" t="s">
        <v>191</v>
      </c>
      <c r="Q52" s="133" t="s">
        <v>323</v>
      </c>
      <c r="R52" s="134" t="s">
        <v>314</v>
      </c>
      <c r="S52" s="134" t="s">
        <v>164</v>
      </c>
      <c r="T52" s="186">
        <v>0.05</v>
      </c>
      <c r="U52" s="134">
        <v>0.05</v>
      </c>
      <c r="V52" s="50">
        <f t="shared" si="0"/>
        <v>1</v>
      </c>
      <c r="W52" s="186">
        <f t="shared" si="6"/>
        <v>0.05</v>
      </c>
      <c r="X52" s="186">
        <f t="shared" si="6"/>
        <v>0.05</v>
      </c>
      <c r="Y52" s="50">
        <f t="shared" si="1"/>
        <v>1</v>
      </c>
      <c r="Z52" s="211" t="s">
        <v>385</v>
      </c>
      <c r="AA52" s="163" t="s">
        <v>294</v>
      </c>
      <c r="AB52" s="141"/>
      <c r="AC52" s="141"/>
      <c r="AD52" s="142"/>
      <c r="AE52" s="108"/>
    </row>
    <row r="53" spans="3:31" ht="189.75" customHeight="1" thickBot="1" x14ac:dyDescent="0.3">
      <c r="C53" s="700"/>
      <c r="D53" s="703"/>
      <c r="E53" s="205"/>
      <c r="F53" s="206"/>
      <c r="G53" s="709">
        <v>309</v>
      </c>
      <c r="H53" s="712" t="s">
        <v>192</v>
      </c>
      <c r="I53" s="784">
        <v>0.05</v>
      </c>
      <c r="J53" s="742" t="s">
        <v>193</v>
      </c>
      <c r="K53" s="712" t="s">
        <v>194</v>
      </c>
      <c r="L53" s="745" t="s">
        <v>81</v>
      </c>
      <c r="M53" s="718">
        <v>1</v>
      </c>
      <c r="N53" s="172" t="s">
        <v>195</v>
      </c>
      <c r="O53" s="133" t="s">
        <v>338</v>
      </c>
      <c r="P53" s="132" t="s">
        <v>196</v>
      </c>
      <c r="Q53" s="133" t="s">
        <v>197</v>
      </c>
      <c r="R53" s="134" t="s">
        <v>339</v>
      </c>
      <c r="S53" s="134" t="s">
        <v>42</v>
      </c>
      <c r="T53" s="151">
        <v>0</v>
      </c>
      <c r="U53" s="151">
        <v>0</v>
      </c>
      <c r="V53" s="50" t="e">
        <f>+U53/T53</f>
        <v>#DIV/0!</v>
      </c>
      <c r="W53" s="151">
        <f t="shared" si="6"/>
        <v>0</v>
      </c>
      <c r="X53" s="151">
        <f t="shared" si="6"/>
        <v>0</v>
      </c>
      <c r="Y53" s="50" t="e">
        <f t="shared" si="1"/>
        <v>#DIV/0!</v>
      </c>
      <c r="Z53" s="214" t="s">
        <v>362</v>
      </c>
      <c r="AA53" s="190" t="s">
        <v>404</v>
      </c>
      <c r="AB53" s="215"/>
      <c r="AC53" s="215"/>
      <c r="AD53" s="216"/>
      <c r="AE53" s="108"/>
    </row>
    <row r="54" spans="3:31" ht="145.5" customHeight="1" thickBot="1" x14ac:dyDescent="0.3">
      <c r="C54" s="700"/>
      <c r="D54" s="703"/>
      <c r="E54" s="205"/>
      <c r="F54" s="206"/>
      <c r="G54" s="710"/>
      <c r="H54" s="713"/>
      <c r="I54" s="785"/>
      <c r="J54" s="743"/>
      <c r="K54" s="713"/>
      <c r="L54" s="746"/>
      <c r="M54" s="768"/>
      <c r="N54" s="172" t="s">
        <v>198</v>
      </c>
      <c r="O54" s="133" t="s">
        <v>199</v>
      </c>
      <c r="P54" s="132" t="s">
        <v>200</v>
      </c>
      <c r="Q54" s="133" t="s">
        <v>201</v>
      </c>
      <c r="R54" s="134" t="s">
        <v>202</v>
      </c>
      <c r="S54" s="134" t="s">
        <v>42</v>
      </c>
      <c r="T54" s="151">
        <v>1</v>
      </c>
      <c r="U54" s="151">
        <v>0</v>
      </c>
      <c r="V54" s="50">
        <f t="shared" si="0"/>
        <v>0</v>
      </c>
      <c r="W54" s="151">
        <f t="shared" si="6"/>
        <v>1</v>
      </c>
      <c r="X54" s="151">
        <f t="shared" si="6"/>
        <v>0</v>
      </c>
      <c r="Y54" s="50">
        <f t="shared" si="1"/>
        <v>0</v>
      </c>
      <c r="Z54" s="152" t="s">
        <v>374</v>
      </c>
      <c r="AA54" s="190" t="s">
        <v>375</v>
      </c>
      <c r="AB54" s="215"/>
      <c r="AC54" s="215"/>
      <c r="AD54" s="216"/>
      <c r="AE54" s="108"/>
    </row>
    <row r="55" spans="3:31" ht="162" customHeight="1" thickBot="1" x14ac:dyDescent="0.3">
      <c r="C55" s="700"/>
      <c r="D55" s="703"/>
      <c r="E55" s="205"/>
      <c r="F55" s="206"/>
      <c r="G55" s="710"/>
      <c r="H55" s="713"/>
      <c r="I55" s="785"/>
      <c r="J55" s="743"/>
      <c r="K55" s="713"/>
      <c r="L55" s="746"/>
      <c r="M55" s="768"/>
      <c r="N55" s="172" t="s">
        <v>203</v>
      </c>
      <c r="O55" s="133" t="s">
        <v>204</v>
      </c>
      <c r="P55" s="132" t="s">
        <v>205</v>
      </c>
      <c r="Q55" s="133" t="s">
        <v>206</v>
      </c>
      <c r="R55" s="134" t="s">
        <v>207</v>
      </c>
      <c r="S55" s="134" t="s">
        <v>42</v>
      </c>
      <c r="T55" s="151">
        <v>3</v>
      </c>
      <c r="U55" s="151">
        <v>0</v>
      </c>
      <c r="V55" s="50">
        <f t="shared" si="0"/>
        <v>0</v>
      </c>
      <c r="W55" s="151">
        <f t="shared" si="6"/>
        <v>3</v>
      </c>
      <c r="X55" s="151">
        <f t="shared" si="6"/>
        <v>0</v>
      </c>
      <c r="Y55" s="50">
        <f t="shared" si="1"/>
        <v>0</v>
      </c>
      <c r="Z55" s="152" t="s">
        <v>376</v>
      </c>
      <c r="AA55" s="190" t="s">
        <v>405</v>
      </c>
      <c r="AB55" s="215"/>
      <c r="AC55" s="215"/>
      <c r="AD55" s="216"/>
      <c r="AE55" s="108"/>
    </row>
    <row r="56" spans="3:31" ht="212.25" customHeight="1" thickBot="1" x14ac:dyDescent="0.3">
      <c r="C56" s="700"/>
      <c r="D56" s="703"/>
      <c r="E56" s="205"/>
      <c r="F56" s="206"/>
      <c r="G56" s="710"/>
      <c r="H56" s="713"/>
      <c r="I56" s="785"/>
      <c r="J56" s="743"/>
      <c r="K56" s="713"/>
      <c r="L56" s="746"/>
      <c r="M56" s="768"/>
      <c r="N56" s="172" t="s">
        <v>208</v>
      </c>
      <c r="O56" s="133" t="s">
        <v>209</v>
      </c>
      <c r="P56" s="132" t="s">
        <v>210</v>
      </c>
      <c r="Q56" s="133" t="s">
        <v>194</v>
      </c>
      <c r="R56" s="134" t="s">
        <v>194</v>
      </c>
      <c r="S56" s="134" t="s">
        <v>42</v>
      </c>
      <c r="T56" s="151">
        <v>1</v>
      </c>
      <c r="U56" s="151">
        <v>1</v>
      </c>
      <c r="V56" s="50">
        <f t="shared" si="0"/>
        <v>1</v>
      </c>
      <c r="W56" s="151">
        <f t="shared" si="6"/>
        <v>1</v>
      </c>
      <c r="X56" s="151">
        <f t="shared" si="6"/>
        <v>1</v>
      </c>
      <c r="Y56" s="50">
        <f t="shared" si="1"/>
        <v>1</v>
      </c>
      <c r="Z56" s="152" t="s">
        <v>377</v>
      </c>
      <c r="AA56" s="163" t="s">
        <v>366</v>
      </c>
      <c r="AB56" s="215"/>
      <c r="AC56" s="215"/>
      <c r="AD56" s="216"/>
      <c r="AE56" s="108"/>
    </row>
    <row r="57" spans="3:31" ht="100.5" customHeight="1" thickBot="1" x14ac:dyDescent="0.3">
      <c r="C57" s="700"/>
      <c r="D57" s="703"/>
      <c r="E57" s="205"/>
      <c r="F57" s="206"/>
      <c r="G57" s="710"/>
      <c r="H57" s="713"/>
      <c r="I57" s="785"/>
      <c r="J57" s="743"/>
      <c r="K57" s="713"/>
      <c r="L57" s="746"/>
      <c r="M57" s="768"/>
      <c r="N57" s="732" t="s">
        <v>211</v>
      </c>
      <c r="O57" s="751" t="s">
        <v>212</v>
      </c>
      <c r="P57" s="132" t="s">
        <v>213</v>
      </c>
      <c r="Q57" s="133" t="s">
        <v>214</v>
      </c>
      <c r="R57" s="134" t="s">
        <v>215</v>
      </c>
      <c r="S57" s="134" t="s">
        <v>42</v>
      </c>
      <c r="T57" s="151">
        <v>5</v>
      </c>
      <c r="U57" s="151">
        <v>0</v>
      </c>
      <c r="V57" s="50">
        <f>+U57/T57</f>
        <v>0</v>
      </c>
      <c r="W57" s="151">
        <f t="shared" ref="W57:X67" si="7">+T57</f>
        <v>5</v>
      </c>
      <c r="X57" s="151">
        <f t="shared" si="7"/>
        <v>0</v>
      </c>
      <c r="Y57" s="50">
        <f t="shared" si="1"/>
        <v>0</v>
      </c>
      <c r="Z57" s="152" t="s">
        <v>373</v>
      </c>
      <c r="AA57" s="153" t="s">
        <v>293</v>
      </c>
      <c r="AB57" s="215"/>
      <c r="AC57" s="215"/>
      <c r="AD57" s="216"/>
      <c r="AE57" s="108"/>
    </row>
    <row r="58" spans="3:31" ht="368.25" thickBot="1" x14ac:dyDescent="0.3">
      <c r="C58" s="700"/>
      <c r="D58" s="703"/>
      <c r="E58" s="205"/>
      <c r="F58" s="206"/>
      <c r="G58" s="710"/>
      <c r="H58" s="713"/>
      <c r="I58" s="785"/>
      <c r="J58" s="743"/>
      <c r="K58" s="713"/>
      <c r="L58" s="746"/>
      <c r="M58" s="768"/>
      <c r="N58" s="733"/>
      <c r="O58" s="730"/>
      <c r="P58" s="132" t="s">
        <v>216</v>
      </c>
      <c r="Q58" s="133" t="s">
        <v>217</v>
      </c>
      <c r="R58" s="134" t="s">
        <v>218</v>
      </c>
      <c r="S58" s="134" t="s">
        <v>219</v>
      </c>
      <c r="T58" s="151">
        <v>8</v>
      </c>
      <c r="U58" s="151">
        <v>7</v>
      </c>
      <c r="V58" s="50">
        <f>+T58/U58</f>
        <v>1.1428571428571428</v>
      </c>
      <c r="W58" s="151">
        <f t="shared" si="7"/>
        <v>8</v>
      </c>
      <c r="X58" s="151">
        <f t="shared" si="7"/>
        <v>7</v>
      </c>
      <c r="Y58" s="50">
        <f>+W58/X58</f>
        <v>1.1428571428571428</v>
      </c>
      <c r="Z58" s="152" t="s">
        <v>379</v>
      </c>
      <c r="AA58" s="217" t="s">
        <v>406</v>
      </c>
      <c r="AB58" s="215"/>
      <c r="AC58" s="215"/>
      <c r="AD58" s="216"/>
      <c r="AE58" s="108"/>
    </row>
    <row r="59" spans="3:31" ht="179.25" customHeight="1" thickBot="1" x14ac:dyDescent="0.3">
      <c r="C59" s="700"/>
      <c r="D59" s="703"/>
      <c r="E59" s="205"/>
      <c r="F59" s="206"/>
      <c r="G59" s="710"/>
      <c r="H59" s="713"/>
      <c r="I59" s="785"/>
      <c r="J59" s="743"/>
      <c r="K59" s="713"/>
      <c r="L59" s="746"/>
      <c r="M59" s="768"/>
      <c r="N59" s="734"/>
      <c r="O59" s="731"/>
      <c r="P59" s="132" t="s">
        <v>220</v>
      </c>
      <c r="Q59" s="133" t="s">
        <v>221</v>
      </c>
      <c r="R59" s="134" t="s">
        <v>222</v>
      </c>
      <c r="S59" s="134" t="s">
        <v>343</v>
      </c>
      <c r="T59" s="134">
        <v>1</v>
      </c>
      <c r="U59" s="134">
        <v>0.95</v>
      </c>
      <c r="V59" s="50">
        <f t="shared" si="0"/>
        <v>0.95</v>
      </c>
      <c r="W59" s="134">
        <f t="shared" si="7"/>
        <v>1</v>
      </c>
      <c r="X59" s="218">
        <f t="shared" si="7"/>
        <v>0.95</v>
      </c>
      <c r="Y59" s="50">
        <f t="shared" si="1"/>
        <v>0.95</v>
      </c>
      <c r="Z59" s="219" t="s">
        <v>411</v>
      </c>
      <c r="AA59" s="179" t="s">
        <v>412</v>
      </c>
      <c r="AB59" s="215"/>
      <c r="AC59" s="215"/>
      <c r="AD59" s="216"/>
      <c r="AE59" s="108"/>
    </row>
    <row r="60" spans="3:31" ht="169.5" customHeight="1" thickBot="1" x14ac:dyDescent="0.3">
      <c r="C60" s="700"/>
      <c r="D60" s="703"/>
      <c r="E60" s="205"/>
      <c r="F60" s="206"/>
      <c r="G60" s="710"/>
      <c r="H60" s="713"/>
      <c r="I60" s="785"/>
      <c r="J60" s="743"/>
      <c r="K60" s="713"/>
      <c r="L60" s="746"/>
      <c r="M60" s="768"/>
      <c r="N60" s="172" t="s">
        <v>224</v>
      </c>
      <c r="O60" s="133" t="s">
        <v>225</v>
      </c>
      <c r="P60" s="132" t="s">
        <v>226</v>
      </c>
      <c r="Q60" s="133" t="s">
        <v>227</v>
      </c>
      <c r="R60" s="134" t="s">
        <v>228</v>
      </c>
      <c r="S60" s="134" t="s">
        <v>229</v>
      </c>
      <c r="T60" s="134">
        <v>0</v>
      </c>
      <c r="U60" s="134">
        <v>0</v>
      </c>
      <c r="V60" s="50" t="e">
        <f t="shared" si="0"/>
        <v>#DIV/0!</v>
      </c>
      <c r="W60" s="134">
        <f t="shared" si="7"/>
        <v>0</v>
      </c>
      <c r="X60" s="200">
        <f t="shared" si="7"/>
        <v>0</v>
      </c>
      <c r="Y60" s="50" t="e">
        <f t="shared" si="1"/>
        <v>#DIV/0!</v>
      </c>
      <c r="Z60" s="219" t="s">
        <v>364</v>
      </c>
      <c r="AA60" s="153" t="s">
        <v>292</v>
      </c>
      <c r="AB60" s="215"/>
      <c r="AC60" s="215"/>
      <c r="AD60" s="216"/>
      <c r="AE60" s="108"/>
    </row>
    <row r="61" spans="3:31" ht="168.75" customHeight="1" thickBot="1" x14ac:dyDescent="0.3">
      <c r="C61" s="700"/>
      <c r="D61" s="703"/>
      <c r="E61" s="205"/>
      <c r="F61" s="206"/>
      <c r="G61" s="710"/>
      <c r="H61" s="713"/>
      <c r="I61" s="785"/>
      <c r="J61" s="743"/>
      <c r="K61" s="713"/>
      <c r="L61" s="746"/>
      <c r="M61" s="768"/>
      <c r="N61" s="172" t="s">
        <v>230</v>
      </c>
      <c r="O61" s="133" t="s">
        <v>232</v>
      </c>
      <c r="P61" s="132" t="s">
        <v>231</v>
      </c>
      <c r="Q61" s="133" t="s">
        <v>233</v>
      </c>
      <c r="R61" s="134" t="s">
        <v>234</v>
      </c>
      <c r="S61" s="134" t="s">
        <v>235</v>
      </c>
      <c r="T61" s="200">
        <v>0</v>
      </c>
      <c r="U61" s="200">
        <v>0</v>
      </c>
      <c r="V61" s="50" t="e">
        <f t="shared" si="0"/>
        <v>#DIV/0!</v>
      </c>
      <c r="W61" s="200">
        <f t="shared" si="7"/>
        <v>0</v>
      </c>
      <c r="X61" s="200">
        <f t="shared" si="7"/>
        <v>0</v>
      </c>
      <c r="Y61" s="50" t="e">
        <f t="shared" si="1"/>
        <v>#DIV/0!</v>
      </c>
      <c r="Z61" s="220" t="s">
        <v>297</v>
      </c>
      <c r="AA61" s="221" t="s">
        <v>394</v>
      </c>
      <c r="AB61" s="215"/>
      <c r="AC61" s="215"/>
      <c r="AD61" s="216"/>
      <c r="AE61" s="108"/>
    </row>
    <row r="62" spans="3:31" ht="192" customHeight="1" thickBot="1" x14ac:dyDescent="0.3">
      <c r="C62" s="700"/>
      <c r="D62" s="703"/>
      <c r="E62" s="205"/>
      <c r="F62" s="206"/>
      <c r="G62" s="710"/>
      <c r="H62" s="713"/>
      <c r="I62" s="785"/>
      <c r="J62" s="743"/>
      <c r="K62" s="713"/>
      <c r="L62" s="746"/>
      <c r="M62" s="768"/>
      <c r="N62" s="732" t="s">
        <v>236</v>
      </c>
      <c r="O62" s="751" t="s">
        <v>237</v>
      </c>
      <c r="P62" s="132" t="s">
        <v>238</v>
      </c>
      <c r="Q62" s="133" t="s">
        <v>239</v>
      </c>
      <c r="R62" s="134" t="s">
        <v>240</v>
      </c>
      <c r="S62" s="134" t="s">
        <v>42</v>
      </c>
      <c r="T62" s="151">
        <v>700</v>
      </c>
      <c r="U62" s="151">
        <v>851</v>
      </c>
      <c r="V62" s="50">
        <f t="shared" si="0"/>
        <v>1.2157142857142857</v>
      </c>
      <c r="W62" s="151">
        <f t="shared" si="7"/>
        <v>700</v>
      </c>
      <c r="X62" s="203">
        <f t="shared" si="7"/>
        <v>851</v>
      </c>
      <c r="Y62" s="50">
        <f t="shared" si="1"/>
        <v>1.2157142857142857</v>
      </c>
      <c r="Z62" s="222" t="s">
        <v>407</v>
      </c>
      <c r="AA62" s="156" t="s">
        <v>294</v>
      </c>
      <c r="AB62" s="215"/>
      <c r="AC62" s="215"/>
      <c r="AD62" s="216"/>
      <c r="AE62" s="108"/>
    </row>
    <row r="63" spans="3:31" ht="211.5" customHeight="1" thickBot="1" x14ac:dyDescent="0.3">
      <c r="C63" s="700"/>
      <c r="D63" s="703"/>
      <c r="E63" s="205"/>
      <c r="F63" s="206"/>
      <c r="G63" s="710"/>
      <c r="H63" s="713"/>
      <c r="I63" s="785"/>
      <c r="J63" s="743"/>
      <c r="K63" s="713"/>
      <c r="L63" s="746"/>
      <c r="M63" s="768"/>
      <c r="N63" s="734"/>
      <c r="O63" s="731"/>
      <c r="P63" s="132" t="s">
        <v>241</v>
      </c>
      <c r="Q63" s="133" t="s">
        <v>332</v>
      </c>
      <c r="R63" s="134" t="s">
        <v>333</v>
      </c>
      <c r="S63" s="134" t="s">
        <v>77</v>
      </c>
      <c r="T63" s="186">
        <v>1</v>
      </c>
      <c r="U63" s="134">
        <v>0.99980000000000002</v>
      </c>
      <c r="V63" s="50">
        <f t="shared" si="0"/>
        <v>0.99980000000000002</v>
      </c>
      <c r="W63" s="134">
        <f t="shared" si="7"/>
        <v>1</v>
      </c>
      <c r="X63" s="218">
        <f t="shared" si="7"/>
        <v>0.99980000000000002</v>
      </c>
      <c r="Y63" s="50">
        <f t="shared" si="1"/>
        <v>0.99980000000000002</v>
      </c>
      <c r="Z63" s="219" t="s">
        <v>387</v>
      </c>
      <c r="AA63" s="190" t="s">
        <v>388</v>
      </c>
      <c r="AB63" s="215"/>
      <c r="AC63" s="215"/>
      <c r="AD63" s="216"/>
      <c r="AE63" s="108"/>
    </row>
    <row r="64" spans="3:31" ht="327.75" customHeight="1" thickBot="1" x14ac:dyDescent="0.3">
      <c r="C64" s="700"/>
      <c r="D64" s="703"/>
      <c r="E64" s="205"/>
      <c r="F64" s="206"/>
      <c r="G64" s="710"/>
      <c r="H64" s="713"/>
      <c r="I64" s="785"/>
      <c r="J64" s="743"/>
      <c r="K64" s="713"/>
      <c r="L64" s="746"/>
      <c r="M64" s="768"/>
      <c r="N64" s="732" t="s">
        <v>242</v>
      </c>
      <c r="O64" s="794" t="s">
        <v>243</v>
      </c>
      <c r="P64" s="132" t="s">
        <v>244</v>
      </c>
      <c r="Q64" s="133" t="s">
        <v>245</v>
      </c>
      <c r="R64" s="134" t="s">
        <v>228</v>
      </c>
      <c r="S64" s="134" t="s">
        <v>229</v>
      </c>
      <c r="T64" s="218">
        <v>0.125</v>
      </c>
      <c r="U64" s="218">
        <v>0.125</v>
      </c>
      <c r="V64" s="50">
        <f>+U64/T64</f>
        <v>1</v>
      </c>
      <c r="W64" s="178">
        <f t="shared" si="7"/>
        <v>0.125</v>
      </c>
      <c r="X64" s="218">
        <f t="shared" si="7"/>
        <v>0.125</v>
      </c>
      <c r="Y64" s="50">
        <f t="shared" si="1"/>
        <v>1</v>
      </c>
      <c r="Z64" s="219" t="s">
        <v>390</v>
      </c>
      <c r="AA64" s="223" t="s">
        <v>389</v>
      </c>
      <c r="AB64" s="215"/>
      <c r="AC64" s="215"/>
      <c r="AD64" s="216"/>
      <c r="AE64" s="108"/>
    </row>
    <row r="65" spans="1:31" ht="409.5" customHeight="1" thickBot="1" x14ac:dyDescent="0.3">
      <c r="C65" s="700"/>
      <c r="D65" s="703"/>
      <c r="E65" s="205"/>
      <c r="F65" s="206"/>
      <c r="G65" s="711"/>
      <c r="H65" s="714"/>
      <c r="I65" s="786"/>
      <c r="J65" s="744"/>
      <c r="K65" s="714"/>
      <c r="L65" s="747"/>
      <c r="M65" s="719"/>
      <c r="N65" s="734"/>
      <c r="O65" s="795"/>
      <c r="P65" s="132" t="s">
        <v>298</v>
      </c>
      <c r="Q65" s="133" t="s">
        <v>334</v>
      </c>
      <c r="R65" s="134" t="s">
        <v>228</v>
      </c>
      <c r="S65" s="134" t="s">
        <v>164</v>
      </c>
      <c r="T65" s="186">
        <v>0.17499999999999999</v>
      </c>
      <c r="U65" s="134">
        <v>0.15</v>
      </c>
      <c r="V65" s="50">
        <f>+U65/T65</f>
        <v>0.85714285714285721</v>
      </c>
      <c r="W65" s="178">
        <f t="shared" si="7"/>
        <v>0.17499999999999999</v>
      </c>
      <c r="X65" s="200">
        <f t="shared" si="7"/>
        <v>0.15</v>
      </c>
      <c r="Y65" s="50">
        <f>+X65/W65</f>
        <v>0.85714285714285721</v>
      </c>
      <c r="Z65" s="219" t="s">
        <v>392</v>
      </c>
      <c r="AA65" s="224" t="s">
        <v>391</v>
      </c>
      <c r="AB65" s="215"/>
      <c r="AC65" s="215"/>
      <c r="AD65" s="216"/>
      <c r="AE65" s="108"/>
    </row>
    <row r="66" spans="1:31" ht="408.75" customHeight="1" thickBot="1" x14ac:dyDescent="0.3">
      <c r="C66" s="700"/>
      <c r="D66" s="703"/>
      <c r="E66" s="722">
        <v>4</v>
      </c>
      <c r="F66" s="725" t="s">
        <v>246</v>
      </c>
      <c r="G66" s="225">
        <v>401</v>
      </c>
      <c r="H66" s="144" t="s">
        <v>247</v>
      </c>
      <c r="I66" s="226">
        <v>0.35</v>
      </c>
      <c r="J66" s="128" t="s">
        <v>248</v>
      </c>
      <c r="K66" s="144" t="s">
        <v>249</v>
      </c>
      <c r="L66" s="145" t="s">
        <v>81</v>
      </c>
      <c r="M66" s="227">
        <v>1</v>
      </c>
      <c r="N66" s="228" t="s">
        <v>250</v>
      </c>
      <c r="O66" s="229" t="s">
        <v>335</v>
      </c>
      <c r="P66" s="230" t="s">
        <v>251</v>
      </c>
      <c r="Q66" s="229" t="s">
        <v>336</v>
      </c>
      <c r="R66" s="231" t="s">
        <v>337</v>
      </c>
      <c r="S66" s="231" t="s">
        <v>42</v>
      </c>
      <c r="T66" s="232">
        <v>5</v>
      </c>
      <c r="U66" s="232">
        <v>5</v>
      </c>
      <c r="V66" s="50">
        <f t="shared" si="0"/>
        <v>1</v>
      </c>
      <c r="W66" s="232">
        <f t="shared" si="7"/>
        <v>5</v>
      </c>
      <c r="X66" s="232">
        <f t="shared" si="7"/>
        <v>5</v>
      </c>
      <c r="Y66" s="50">
        <f t="shared" si="1"/>
        <v>1</v>
      </c>
      <c r="Z66" s="214" t="s">
        <v>408</v>
      </c>
      <c r="AA66" s="179" t="s">
        <v>361</v>
      </c>
      <c r="AB66" s="233"/>
      <c r="AC66" s="233"/>
      <c r="AD66" s="234">
        <f>6+5+8+4+2+13+24</f>
        <v>62</v>
      </c>
      <c r="AE66" s="108">
        <f>91-62</f>
        <v>29</v>
      </c>
    </row>
    <row r="67" spans="1:31" ht="305.25" customHeight="1" thickBot="1" x14ac:dyDescent="0.3">
      <c r="C67" s="700"/>
      <c r="D67" s="703"/>
      <c r="E67" s="723"/>
      <c r="F67" s="726"/>
      <c r="G67" s="709">
        <v>402</v>
      </c>
      <c r="H67" s="712" t="s">
        <v>286</v>
      </c>
      <c r="I67" s="784">
        <v>0.35</v>
      </c>
      <c r="J67" s="148" t="s">
        <v>252</v>
      </c>
      <c r="K67" s="149" t="s">
        <v>253</v>
      </c>
      <c r="L67" s="150" t="s">
        <v>81</v>
      </c>
      <c r="M67" s="230">
        <v>0.6</v>
      </c>
      <c r="N67" s="791" t="s">
        <v>254</v>
      </c>
      <c r="O67" s="802" t="s">
        <v>340</v>
      </c>
      <c r="P67" s="804" t="s">
        <v>255</v>
      </c>
      <c r="Q67" s="806" t="s">
        <v>341</v>
      </c>
      <c r="R67" s="798" t="s">
        <v>342</v>
      </c>
      <c r="S67" s="798" t="s">
        <v>256</v>
      </c>
      <c r="T67" s="798">
        <v>0</v>
      </c>
      <c r="U67" s="798">
        <v>0</v>
      </c>
      <c r="V67" s="769" t="e">
        <f t="shared" si="0"/>
        <v>#DIV/0!</v>
      </c>
      <c r="W67" s="798">
        <f t="shared" si="7"/>
        <v>0</v>
      </c>
      <c r="X67" s="798">
        <f t="shared" si="7"/>
        <v>0</v>
      </c>
      <c r="Y67" s="769" t="e">
        <f t="shared" si="1"/>
        <v>#DIV/0!</v>
      </c>
      <c r="Z67" s="800" t="s">
        <v>369</v>
      </c>
      <c r="AA67" s="796" t="s">
        <v>409</v>
      </c>
      <c r="AB67" s="235"/>
      <c r="AC67" s="235"/>
      <c r="AD67" s="236"/>
      <c r="AE67" s="108"/>
    </row>
    <row r="68" spans="1:31" ht="215.25" customHeight="1" thickBot="1" x14ac:dyDescent="0.3">
      <c r="C68" s="700"/>
      <c r="D68" s="703"/>
      <c r="E68" s="723"/>
      <c r="F68" s="726"/>
      <c r="G68" s="711"/>
      <c r="H68" s="714"/>
      <c r="I68" s="786"/>
      <c r="J68" s="148" t="s">
        <v>257</v>
      </c>
      <c r="K68" s="177" t="s">
        <v>194</v>
      </c>
      <c r="L68" s="193" t="s">
        <v>81</v>
      </c>
      <c r="M68" s="237">
        <v>0.4</v>
      </c>
      <c r="N68" s="792"/>
      <c r="O68" s="803"/>
      <c r="P68" s="805"/>
      <c r="Q68" s="807"/>
      <c r="R68" s="799"/>
      <c r="S68" s="799"/>
      <c r="T68" s="799"/>
      <c r="U68" s="799"/>
      <c r="V68" s="770"/>
      <c r="W68" s="799"/>
      <c r="X68" s="799"/>
      <c r="Y68" s="770"/>
      <c r="Z68" s="801"/>
      <c r="AA68" s="797"/>
      <c r="AB68" s="235"/>
      <c r="AC68" s="235"/>
      <c r="AD68" s="236"/>
      <c r="AE68" s="108"/>
    </row>
    <row r="69" spans="1:31" ht="187.5" customHeight="1" thickBot="1" x14ac:dyDescent="0.3">
      <c r="C69" s="701"/>
      <c r="D69" s="704"/>
      <c r="E69" s="724"/>
      <c r="F69" s="727"/>
      <c r="G69" s="238">
        <v>403</v>
      </c>
      <c r="H69" s="177" t="s">
        <v>258</v>
      </c>
      <c r="I69" s="239">
        <v>0.3</v>
      </c>
      <c r="J69" s="148" t="s">
        <v>259</v>
      </c>
      <c r="K69" s="177" t="s">
        <v>260</v>
      </c>
      <c r="L69" s="193" t="s">
        <v>81</v>
      </c>
      <c r="M69" s="237">
        <v>1</v>
      </c>
      <c r="N69" s="228" t="s">
        <v>261</v>
      </c>
      <c r="O69" s="229" t="s">
        <v>262</v>
      </c>
      <c r="P69" s="230" t="s">
        <v>263</v>
      </c>
      <c r="Q69" s="229" t="s">
        <v>194</v>
      </c>
      <c r="R69" s="231" t="s">
        <v>194</v>
      </c>
      <c r="S69" s="231" t="s">
        <v>42</v>
      </c>
      <c r="T69" s="232">
        <v>0</v>
      </c>
      <c r="U69" s="232">
        <v>0</v>
      </c>
      <c r="V69" s="51" t="e">
        <f t="shared" si="0"/>
        <v>#DIV/0!</v>
      </c>
      <c r="W69" s="232">
        <f>+T69</f>
        <v>0</v>
      </c>
      <c r="X69" s="232">
        <f>+U69</f>
        <v>0</v>
      </c>
      <c r="Y69" s="51" t="e">
        <f t="shared" si="1"/>
        <v>#DIV/0!</v>
      </c>
      <c r="Z69" s="214" t="s">
        <v>369</v>
      </c>
      <c r="AA69" s="190" t="s">
        <v>410</v>
      </c>
      <c r="AB69" s="233"/>
      <c r="AC69" s="233"/>
      <c r="AD69" s="234"/>
      <c r="AE69" s="108"/>
    </row>
    <row r="70" spans="1:31" ht="12.75" customHeight="1" x14ac:dyDescent="0.35">
      <c r="E70" s="240"/>
      <c r="F70" s="109"/>
      <c r="G70" s="108"/>
      <c r="H70" s="110"/>
      <c r="I70" s="111"/>
      <c r="J70" s="108"/>
      <c r="K70" s="110"/>
      <c r="L70" s="112"/>
      <c r="M70" s="241"/>
      <c r="N70" s="241"/>
      <c r="O70" s="241"/>
      <c r="P70" s="241"/>
      <c r="Q70" s="241"/>
      <c r="R70" s="241"/>
      <c r="S70" s="241"/>
      <c r="T70" s="241"/>
      <c r="U70" s="241"/>
      <c r="V70" s="241"/>
      <c r="W70" s="241"/>
      <c r="X70" s="241"/>
      <c r="Y70" s="241"/>
      <c r="Z70" s="241"/>
      <c r="AA70" s="241"/>
      <c r="AB70" s="241"/>
      <c r="AC70" s="241"/>
      <c r="AD70" s="241"/>
      <c r="AE70" s="108"/>
    </row>
    <row r="71" spans="1:31" s="243" customFormat="1" x14ac:dyDescent="0.35">
      <c r="A71" s="109"/>
      <c r="B71" s="109"/>
      <c r="C71" s="109"/>
      <c r="D71" s="109"/>
      <c r="E71" s="108"/>
      <c r="F71" s="109"/>
      <c r="G71" s="108"/>
      <c r="H71" s="110"/>
      <c r="I71" s="242"/>
      <c r="J71" s="108"/>
      <c r="K71" s="110"/>
      <c r="L71" s="112"/>
      <c r="M71" s="108"/>
      <c r="N71" s="108"/>
      <c r="O71" s="108"/>
      <c r="P71" s="108"/>
      <c r="Q71" s="108"/>
      <c r="R71" s="108"/>
      <c r="S71" s="108"/>
      <c r="T71" s="108"/>
      <c r="U71" s="108"/>
      <c r="V71" s="108"/>
      <c r="W71" s="108"/>
      <c r="X71" s="108"/>
      <c r="Y71" s="108"/>
      <c r="Z71" s="108"/>
      <c r="AA71" s="108"/>
      <c r="AB71" s="108"/>
      <c r="AC71" s="108"/>
      <c r="AD71" s="108"/>
      <c r="AE71" s="109"/>
    </row>
    <row r="72" spans="1:31" x14ac:dyDescent="0.35">
      <c r="E72" s="108"/>
      <c r="F72" s="109"/>
      <c r="G72" s="108"/>
      <c r="H72" s="110"/>
      <c r="I72" s="111"/>
      <c r="J72" s="108"/>
      <c r="K72" s="110"/>
      <c r="L72" s="112"/>
      <c r="M72" s="108"/>
      <c r="N72" s="108"/>
      <c r="O72" s="108"/>
      <c r="P72" s="108"/>
      <c r="Q72" s="108"/>
      <c r="R72" s="108"/>
      <c r="S72" s="108"/>
      <c r="T72" s="108"/>
      <c r="U72" s="108"/>
      <c r="V72" s="108"/>
      <c r="W72" s="108"/>
      <c r="X72" s="108"/>
      <c r="Y72" s="108"/>
      <c r="Z72" s="108"/>
      <c r="AA72" s="108"/>
      <c r="AB72" s="108"/>
      <c r="AC72" s="108"/>
      <c r="AD72" s="108"/>
      <c r="AE72" s="108"/>
    </row>
    <row r="73" spans="1:31" x14ac:dyDescent="0.35">
      <c r="E73" s="108"/>
      <c r="F73" s="109"/>
      <c r="G73" s="108"/>
      <c r="H73" s="110"/>
      <c r="I73" s="111"/>
      <c r="J73" s="108"/>
      <c r="K73" s="110"/>
      <c r="L73" s="112"/>
      <c r="M73" s="108"/>
      <c r="N73" s="108"/>
      <c r="O73" s="108"/>
      <c r="P73" s="108"/>
      <c r="Q73" s="108"/>
      <c r="R73" s="108"/>
      <c r="S73" s="108"/>
      <c r="T73" s="108"/>
      <c r="U73" s="108"/>
      <c r="V73" s="108"/>
      <c r="W73" s="108"/>
      <c r="X73" s="108"/>
      <c r="Y73" s="108"/>
      <c r="Z73" s="108"/>
      <c r="AA73" s="108"/>
      <c r="AB73" s="108"/>
      <c r="AC73" s="108"/>
      <c r="AD73" s="108"/>
      <c r="AE73" s="108"/>
    </row>
  </sheetData>
  <mergeCells count="173">
    <mergeCell ref="O57:O59"/>
    <mergeCell ref="N62:N63"/>
    <mergeCell ref="O62:O63"/>
    <mergeCell ref="N64:N65"/>
    <mergeCell ref="O64:O65"/>
    <mergeCell ref="AA67:AA68"/>
    <mergeCell ref="U67:U68"/>
    <mergeCell ref="V67:V68"/>
    <mergeCell ref="W67:W68"/>
    <mergeCell ref="X67:X68"/>
    <mergeCell ref="Y67:Y68"/>
    <mergeCell ref="Z67:Z68"/>
    <mergeCell ref="O67:O68"/>
    <mergeCell ref="P67:P68"/>
    <mergeCell ref="Q67:Q68"/>
    <mergeCell ref="R67:R68"/>
    <mergeCell ref="S67:S68"/>
    <mergeCell ref="T67:T68"/>
    <mergeCell ref="G53:G65"/>
    <mergeCell ref="H53:H65"/>
    <mergeCell ref="I53:I65"/>
    <mergeCell ref="J53:J65"/>
    <mergeCell ref="K53:K65"/>
    <mergeCell ref="L53:L65"/>
    <mergeCell ref="M53:M65"/>
    <mergeCell ref="N43:N44"/>
    <mergeCell ref="E66:E69"/>
    <mergeCell ref="F66:F69"/>
    <mergeCell ref="G67:G68"/>
    <mergeCell ref="H67:H68"/>
    <mergeCell ref="I67:I68"/>
    <mergeCell ref="N67:N68"/>
    <mergeCell ref="N57:N59"/>
    <mergeCell ref="G45:G52"/>
    <mergeCell ref="H45:H52"/>
    <mergeCell ref="I45:I52"/>
    <mergeCell ref="N45:N49"/>
    <mergeCell ref="E23:E43"/>
    <mergeCell ref="F23:F43"/>
    <mergeCell ref="M26:M30"/>
    <mergeCell ref="G24:G25"/>
    <mergeCell ref="H24:H25"/>
    <mergeCell ref="O45:O49"/>
    <mergeCell ref="J46:J52"/>
    <mergeCell ref="K46:K52"/>
    <mergeCell ref="L46:L52"/>
    <mergeCell ref="M46:M52"/>
    <mergeCell ref="Z38:Z40"/>
    <mergeCell ref="AA38:AA40"/>
    <mergeCell ref="G41:G44"/>
    <mergeCell ref="H41:H44"/>
    <mergeCell ref="I41:I44"/>
    <mergeCell ref="AA41:AA42"/>
    <mergeCell ref="J42:J44"/>
    <mergeCell ref="K42:K44"/>
    <mergeCell ref="L42:L44"/>
    <mergeCell ref="M42:M44"/>
    <mergeCell ref="T38:T40"/>
    <mergeCell ref="U38:U40"/>
    <mergeCell ref="V38:V40"/>
    <mergeCell ref="W38:W40"/>
    <mergeCell ref="X38:X40"/>
    <mergeCell ref="Y38:Y40"/>
    <mergeCell ref="N38:N40"/>
    <mergeCell ref="O38:O40"/>
    <mergeCell ref="P38:P40"/>
    <mergeCell ref="Q38:Q40"/>
    <mergeCell ref="R38:R40"/>
    <mergeCell ref="S38:S40"/>
    <mergeCell ref="O43:O44"/>
    <mergeCell ref="O32:O33"/>
    <mergeCell ref="G34:G37"/>
    <mergeCell ref="H34:H37"/>
    <mergeCell ref="I34:I37"/>
    <mergeCell ref="N34:N36"/>
    <mergeCell ref="O34:O36"/>
    <mergeCell ref="G38:G40"/>
    <mergeCell ref="H38:H40"/>
    <mergeCell ref="I38:I40"/>
    <mergeCell ref="I24:I25"/>
    <mergeCell ref="J24:J25"/>
    <mergeCell ref="N26:N27"/>
    <mergeCell ref="O26:O27"/>
    <mergeCell ref="G31:G33"/>
    <mergeCell ref="H31:H33"/>
    <mergeCell ref="I31:I33"/>
    <mergeCell ref="J31:J33"/>
    <mergeCell ref="K31:K33"/>
    <mergeCell ref="L31:L33"/>
    <mergeCell ref="M31:M33"/>
    <mergeCell ref="N32:N33"/>
    <mergeCell ref="U10:U11"/>
    <mergeCell ref="V10:V11"/>
    <mergeCell ref="W10:W11"/>
    <mergeCell ref="X10:X11"/>
    <mergeCell ref="Y10:Y11"/>
    <mergeCell ref="Z10:Z11"/>
    <mergeCell ref="O10:O11"/>
    <mergeCell ref="P10:P11"/>
    <mergeCell ref="G20:G22"/>
    <mergeCell ref="H20:H22"/>
    <mergeCell ref="I20:I22"/>
    <mergeCell ref="U16:U22"/>
    <mergeCell ref="V16:V22"/>
    <mergeCell ref="W16:W22"/>
    <mergeCell ref="X16:X22"/>
    <mergeCell ref="Y16:Y22"/>
    <mergeCell ref="Z16:Z22"/>
    <mergeCell ref="O16:O22"/>
    <mergeCell ref="P16:P22"/>
    <mergeCell ref="Q16:Q22"/>
    <mergeCell ref="R16:R22"/>
    <mergeCell ref="S16:S22"/>
    <mergeCell ref="T16:T22"/>
    <mergeCell ref="I16:I17"/>
    <mergeCell ref="AA16:AA22"/>
    <mergeCell ref="G18:G19"/>
    <mergeCell ref="H18:H19"/>
    <mergeCell ref="I18:I19"/>
    <mergeCell ref="Q10:Q11"/>
    <mergeCell ref="R10:R11"/>
    <mergeCell ref="S10:S11"/>
    <mergeCell ref="T10:T11"/>
    <mergeCell ref="Z7:Z8"/>
    <mergeCell ref="AA7:AA8"/>
    <mergeCell ref="P7:Q7"/>
    <mergeCell ref="R7:R8"/>
    <mergeCell ref="S7:S8"/>
    <mergeCell ref="T7:V7"/>
    <mergeCell ref="W7:Y7"/>
    <mergeCell ref="AA10:AA11"/>
    <mergeCell ref="G13:G15"/>
    <mergeCell ref="H13:H15"/>
    <mergeCell ref="I13:I15"/>
    <mergeCell ref="J13:J14"/>
    <mergeCell ref="K13:K14"/>
    <mergeCell ref="L13:L14"/>
    <mergeCell ref="M13:M14"/>
    <mergeCell ref="N14:N15"/>
    <mergeCell ref="C9:C69"/>
    <mergeCell ref="D9:D69"/>
    <mergeCell ref="E9:E15"/>
    <mergeCell ref="F9:F15"/>
    <mergeCell ref="G10:G12"/>
    <mergeCell ref="H10:H12"/>
    <mergeCell ref="I10:I12"/>
    <mergeCell ref="N10:N11"/>
    <mergeCell ref="N7:O7"/>
    <mergeCell ref="E16:E22"/>
    <mergeCell ref="F16:F22"/>
    <mergeCell ref="G16:G17"/>
    <mergeCell ref="H16:H17"/>
    <mergeCell ref="O14:O15"/>
    <mergeCell ref="N16:N22"/>
    <mergeCell ref="K24:K25"/>
    <mergeCell ref="L24:L25"/>
    <mergeCell ref="M24:M25"/>
    <mergeCell ref="G26:G30"/>
    <mergeCell ref="H26:H30"/>
    <mergeCell ref="I26:I30"/>
    <mergeCell ref="J26:J30"/>
    <mergeCell ref="K26:K30"/>
    <mergeCell ref="L26:L30"/>
    <mergeCell ref="C2:AA2"/>
    <mergeCell ref="C3:AA3"/>
    <mergeCell ref="C4:AA4"/>
    <mergeCell ref="C6:M6"/>
    <mergeCell ref="N6:AA6"/>
    <mergeCell ref="C7:C8"/>
    <mergeCell ref="D7:D8"/>
    <mergeCell ref="E7:F7"/>
    <mergeCell ref="G7:I7"/>
    <mergeCell ref="J7:M7"/>
  </mergeCells>
  <conditionalFormatting sqref="V9:V10 Y10 Y41:Y67 V41:V67">
    <cfRule type="cellIs" dxfId="98" priority="10" stopIfTrue="1" operator="greaterThanOrEqual">
      <formula>80.01%</formula>
    </cfRule>
    <cfRule type="cellIs" dxfId="97" priority="11" stopIfTrue="1" operator="between">
      <formula>0.501</formula>
      <formula>0.8</formula>
    </cfRule>
    <cfRule type="cellIs" dxfId="96" priority="12" stopIfTrue="1" operator="lessThanOrEqual">
      <formula>0.5</formula>
    </cfRule>
  </conditionalFormatting>
  <conditionalFormatting sqref="Y9">
    <cfRule type="cellIs" dxfId="95" priority="7" stopIfTrue="1" operator="greaterThanOrEqual">
      <formula>80.01%</formula>
    </cfRule>
    <cfRule type="cellIs" dxfId="94" priority="8" stopIfTrue="1" operator="between">
      <formula>0.501</formula>
      <formula>0.8</formula>
    </cfRule>
    <cfRule type="cellIs" dxfId="93" priority="9" stopIfTrue="1" operator="lessThanOrEqual">
      <formula>0.5</formula>
    </cfRule>
  </conditionalFormatting>
  <conditionalFormatting sqref="V12:V16 V23:V38 V69">
    <cfRule type="cellIs" dxfId="92" priority="4" stopIfTrue="1" operator="greaterThanOrEqual">
      <formula>80.01%</formula>
    </cfRule>
    <cfRule type="cellIs" dxfId="91" priority="5" stopIfTrue="1" operator="between">
      <formula>0.501</formula>
      <formula>0.8</formula>
    </cfRule>
    <cfRule type="cellIs" dxfId="90" priority="6" stopIfTrue="1" operator="lessThanOrEqual">
      <formula>0.5</formula>
    </cfRule>
  </conditionalFormatting>
  <conditionalFormatting sqref="Y12:Y16 Y23:Y38 Y69">
    <cfRule type="cellIs" dxfId="89" priority="1" stopIfTrue="1" operator="greaterThanOrEqual">
      <formula>80.01%</formula>
    </cfRule>
    <cfRule type="cellIs" dxfId="88" priority="2" stopIfTrue="1" operator="between">
      <formula>0.501</formula>
      <formula>0.8</formula>
    </cfRule>
    <cfRule type="cellIs" dxfId="87" priority="3" stopIfTrue="1" operator="lessThanOrEqual">
      <formula>0.5</formula>
    </cfRule>
  </conditionalFormatting>
  <pageMargins left="0.39370078740157483" right="0.19685039370078741" top="0.59055118110236227" bottom="0.19685039370078741" header="0.31496062992125984" footer="0"/>
  <pageSetup paperSize="5" scale="23" orientation="landscape" r:id="rId1"/>
  <headerFooter alignWithMargins="0">
    <oddFooter>Página &amp;P de &amp;F</oddFooter>
  </headerFooter>
  <rowBreaks count="2" manualBreakCount="2">
    <brk id="33" max="16383" man="1"/>
    <brk id="59" max="16383" man="1"/>
  </row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F10"/>
  <sheetViews>
    <sheetView zoomScale="115" zoomScaleNormal="115" workbookViewId="0">
      <selection activeCell="D22" sqref="D22"/>
    </sheetView>
  </sheetViews>
  <sheetFormatPr baseColWidth="10" defaultRowHeight="15" x14ac:dyDescent="0.25"/>
  <cols>
    <col min="1" max="1" width="11.42578125" customWidth="1"/>
    <col min="2" max="2" width="0.42578125" customWidth="1"/>
    <col min="3" max="3" width="19.85546875" customWidth="1"/>
    <col min="4" max="4" width="21.5703125" customWidth="1"/>
    <col min="5" max="5" width="12.28515625" customWidth="1"/>
    <col min="6" max="6" width="0.42578125" customWidth="1"/>
  </cols>
  <sheetData>
    <row r="3" spans="2:6" x14ac:dyDescent="0.25">
      <c r="F3" s="588"/>
    </row>
    <row r="4" spans="2:6" x14ac:dyDescent="0.25">
      <c r="B4" s="588"/>
      <c r="C4" s="588"/>
      <c r="D4" s="588"/>
      <c r="E4" s="588"/>
      <c r="F4" s="588"/>
    </row>
    <row r="5" spans="2:6" ht="2.25" customHeight="1" x14ac:dyDescent="0.25">
      <c r="B5" s="588"/>
      <c r="C5" s="588"/>
      <c r="D5" s="588"/>
      <c r="E5" s="588"/>
      <c r="F5" s="588"/>
    </row>
    <row r="6" spans="2:6" ht="31.5" customHeight="1" x14ac:dyDescent="0.25">
      <c r="B6" s="588"/>
      <c r="C6" s="589" t="s">
        <v>749</v>
      </c>
      <c r="D6" s="590" t="s">
        <v>750</v>
      </c>
      <c r="E6" s="590" t="s">
        <v>751</v>
      </c>
      <c r="F6" s="588"/>
    </row>
    <row r="7" spans="2:6" ht="19.5" customHeight="1" x14ac:dyDescent="0.25">
      <c r="B7" s="588"/>
      <c r="C7" s="591" t="s">
        <v>752</v>
      </c>
      <c r="D7" s="592" t="s">
        <v>755</v>
      </c>
      <c r="E7" s="591" t="s">
        <v>758</v>
      </c>
      <c r="F7" s="588"/>
    </row>
    <row r="8" spans="2:6" ht="19.5" customHeight="1" x14ac:dyDescent="0.25">
      <c r="B8" s="588"/>
      <c r="C8" s="591" t="s">
        <v>753</v>
      </c>
      <c r="D8" s="593" t="s">
        <v>756</v>
      </c>
      <c r="E8" s="591" t="s">
        <v>759</v>
      </c>
      <c r="F8" s="588"/>
    </row>
    <row r="9" spans="2:6" ht="19.5" customHeight="1" x14ac:dyDescent="0.25">
      <c r="B9" s="588"/>
      <c r="C9" s="591" t="s">
        <v>754</v>
      </c>
      <c r="D9" s="594" t="s">
        <v>757</v>
      </c>
      <c r="E9" s="591" t="s">
        <v>760</v>
      </c>
      <c r="F9" s="588"/>
    </row>
    <row r="10" spans="2:6" ht="2.25" customHeight="1" x14ac:dyDescent="0.25">
      <c r="B10" s="588"/>
      <c r="C10" s="588"/>
      <c r="D10" s="588"/>
      <c r="E10" s="588"/>
      <c r="F10" s="588"/>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73"/>
  <sheetViews>
    <sheetView view="pageBreakPreview" topLeftCell="I58" zoomScale="40" zoomScaleNormal="70" zoomScaleSheetLayoutView="40" workbookViewId="0">
      <selection activeCell="Q62" sqref="Q62"/>
    </sheetView>
  </sheetViews>
  <sheetFormatPr baseColWidth="10" defaultRowHeight="22.5" x14ac:dyDescent="0.35"/>
  <cols>
    <col min="1" max="1" width="2.85546875" style="1" customWidth="1"/>
    <col min="2" max="2" width="2" style="1" customWidth="1"/>
    <col min="3" max="4" width="10.140625" style="1" customWidth="1"/>
    <col min="5" max="5" width="7" style="6" customWidth="1"/>
    <col min="6" max="6" width="11" style="29" customWidth="1"/>
    <col min="7" max="7" width="7.7109375" style="6" customWidth="1"/>
    <col min="8" max="8" width="47.140625" style="30" customWidth="1"/>
    <col min="9" max="9" width="12.28515625" style="31" customWidth="1"/>
    <col min="10" max="10" width="11.42578125" style="6" customWidth="1"/>
    <col min="11" max="11" width="52.5703125" style="30" customWidth="1"/>
    <col min="12" max="12" width="11.5703125" style="32" customWidth="1"/>
    <col min="13" max="13" width="12.42578125" style="6" customWidth="1"/>
    <col min="14" max="14" width="15" style="6" customWidth="1"/>
    <col min="15" max="15" width="44.28515625" style="6" customWidth="1"/>
    <col min="16" max="16" width="16.85546875" style="6" customWidth="1"/>
    <col min="17" max="17" width="44.7109375" style="6" customWidth="1"/>
    <col min="18" max="18" width="34" style="6" customWidth="1"/>
    <col min="19" max="19" width="26.42578125" style="6" customWidth="1"/>
    <col min="20" max="20" width="28.7109375" style="6" customWidth="1"/>
    <col min="21" max="21" width="29.140625" style="6" customWidth="1"/>
    <col min="22" max="22" width="23" style="6" customWidth="1"/>
    <col min="23" max="23" width="29.7109375" style="6" customWidth="1"/>
    <col min="24" max="24" width="29.42578125" style="6" customWidth="1"/>
    <col min="25" max="25" width="22.28515625" style="6" customWidth="1"/>
    <col min="26" max="26" width="76" style="6" customWidth="1"/>
    <col min="27" max="27" width="74.85546875" style="6" customWidth="1"/>
    <col min="28" max="28" width="6.140625" style="6" customWidth="1"/>
    <col min="29" max="29" width="12.42578125" style="6" customWidth="1"/>
    <col min="30" max="30" width="23.7109375" style="6" customWidth="1"/>
    <col min="31" max="31" width="10.28515625" style="6" customWidth="1"/>
    <col min="32" max="32" width="8" style="6" customWidth="1"/>
    <col min="33" max="16384" width="11.42578125" style="6"/>
  </cols>
  <sheetData>
    <row r="1" spans="3:35" ht="7.5" customHeight="1" x14ac:dyDescent="0.35">
      <c r="E1" s="1"/>
      <c r="F1" s="2"/>
      <c r="G1" s="1"/>
      <c r="H1" s="3"/>
      <c r="I1" s="4"/>
      <c r="J1" s="1"/>
      <c r="K1" s="3"/>
      <c r="L1" s="5"/>
      <c r="M1" s="1"/>
      <c r="N1" s="1"/>
      <c r="O1" s="1"/>
      <c r="P1" s="1"/>
      <c r="Q1" s="1"/>
      <c r="R1" s="1"/>
      <c r="S1" s="1"/>
      <c r="T1" s="1"/>
      <c r="U1" s="1"/>
      <c r="V1" s="1"/>
      <c r="W1" s="1"/>
      <c r="X1" s="1"/>
      <c r="Y1" s="1"/>
      <c r="Z1" s="1"/>
      <c r="AA1" s="1"/>
      <c r="AB1" s="1"/>
      <c r="AC1" s="1"/>
      <c r="AD1" s="1"/>
      <c r="AE1" s="1"/>
    </row>
    <row r="2" spans="3:35" ht="42" customHeight="1" x14ac:dyDescent="0.25">
      <c r="C2" s="910" t="s">
        <v>0</v>
      </c>
      <c r="D2" s="910"/>
      <c r="E2" s="910"/>
      <c r="F2" s="910"/>
      <c r="G2" s="910"/>
      <c r="H2" s="910"/>
      <c r="I2" s="910"/>
      <c r="J2" s="910"/>
      <c r="K2" s="910"/>
      <c r="L2" s="910"/>
      <c r="M2" s="910"/>
      <c r="N2" s="910"/>
      <c r="O2" s="910"/>
      <c r="P2" s="910"/>
      <c r="Q2" s="910"/>
      <c r="R2" s="910"/>
      <c r="S2" s="910"/>
      <c r="T2" s="910"/>
      <c r="U2" s="910"/>
      <c r="V2" s="910"/>
      <c r="W2" s="910"/>
      <c r="X2" s="910"/>
      <c r="Y2" s="910"/>
      <c r="Z2" s="910"/>
      <c r="AA2" s="910"/>
      <c r="AB2" s="7"/>
      <c r="AC2" s="7"/>
      <c r="AD2" s="7"/>
      <c r="AE2" s="1"/>
    </row>
    <row r="3" spans="3:35" ht="27" customHeight="1" x14ac:dyDescent="0.25">
      <c r="C3" s="910" t="s">
        <v>486</v>
      </c>
      <c r="D3" s="910"/>
      <c r="E3" s="910"/>
      <c r="F3" s="910"/>
      <c r="G3" s="910"/>
      <c r="H3" s="910"/>
      <c r="I3" s="910"/>
      <c r="J3" s="910"/>
      <c r="K3" s="910"/>
      <c r="L3" s="910"/>
      <c r="M3" s="910"/>
      <c r="N3" s="910"/>
      <c r="O3" s="910"/>
      <c r="P3" s="910"/>
      <c r="Q3" s="910"/>
      <c r="R3" s="910"/>
      <c r="S3" s="910"/>
      <c r="T3" s="910"/>
      <c r="U3" s="910"/>
      <c r="V3" s="910"/>
      <c r="W3" s="910"/>
      <c r="X3" s="910"/>
      <c r="Y3" s="910"/>
      <c r="Z3" s="910"/>
      <c r="AA3" s="910"/>
      <c r="AB3" s="7"/>
      <c r="AC3" s="7"/>
      <c r="AD3" s="7"/>
      <c r="AE3" s="1"/>
    </row>
    <row r="4" spans="3:35" ht="36" customHeight="1" x14ac:dyDescent="0.25">
      <c r="C4" s="911" t="s">
        <v>413</v>
      </c>
      <c r="D4" s="911"/>
      <c r="E4" s="911"/>
      <c r="F4" s="911"/>
      <c r="G4" s="911"/>
      <c r="H4" s="911"/>
      <c r="I4" s="911"/>
      <c r="J4" s="911"/>
      <c r="K4" s="911"/>
      <c r="L4" s="911"/>
      <c r="M4" s="911"/>
      <c r="N4" s="911"/>
      <c r="O4" s="911"/>
      <c r="P4" s="911"/>
      <c r="Q4" s="911"/>
      <c r="R4" s="911"/>
      <c r="S4" s="911"/>
      <c r="T4" s="911"/>
      <c r="U4" s="911"/>
      <c r="V4" s="911"/>
      <c r="W4" s="911"/>
      <c r="X4" s="911"/>
      <c r="Y4" s="911"/>
      <c r="Z4" s="911"/>
      <c r="AA4" s="911"/>
      <c r="AB4" s="307"/>
      <c r="AC4" s="307"/>
      <c r="AD4" s="307"/>
      <c r="AE4" s="1"/>
    </row>
    <row r="5" spans="3:35" ht="19.5" customHeight="1" thickBot="1" x14ac:dyDescent="0.3">
      <c r="E5" s="8"/>
      <c r="F5" s="8"/>
      <c r="G5" s="8"/>
      <c r="H5" s="8"/>
      <c r="I5" s="8"/>
      <c r="J5" s="8"/>
      <c r="K5" s="8"/>
      <c r="L5" s="8"/>
      <c r="M5" s="8"/>
      <c r="N5" s="8"/>
      <c r="O5" s="8"/>
      <c r="P5" s="8"/>
      <c r="Q5" s="8"/>
      <c r="R5" s="8"/>
      <c r="S5" s="8"/>
      <c r="T5" s="8"/>
      <c r="U5" s="8"/>
      <c r="V5" s="8"/>
      <c r="W5" s="8"/>
      <c r="X5" s="8"/>
      <c r="Y5" s="8"/>
      <c r="Z5" s="8"/>
      <c r="AA5" s="8"/>
      <c r="AB5" s="8"/>
      <c r="AC5" s="8"/>
      <c r="AD5" s="8"/>
      <c r="AE5" s="1"/>
    </row>
    <row r="6" spans="3:35" ht="42.75" customHeight="1" thickBot="1" x14ac:dyDescent="0.3">
      <c r="C6" s="912" t="s">
        <v>1</v>
      </c>
      <c r="D6" s="913"/>
      <c r="E6" s="913"/>
      <c r="F6" s="913"/>
      <c r="G6" s="913"/>
      <c r="H6" s="913"/>
      <c r="I6" s="913"/>
      <c r="J6" s="913"/>
      <c r="K6" s="913"/>
      <c r="L6" s="913"/>
      <c r="M6" s="914"/>
      <c r="N6" s="915" t="s">
        <v>2</v>
      </c>
      <c r="O6" s="916"/>
      <c r="P6" s="916"/>
      <c r="Q6" s="916"/>
      <c r="R6" s="916"/>
      <c r="S6" s="916"/>
      <c r="T6" s="916"/>
      <c r="U6" s="916"/>
      <c r="V6" s="916"/>
      <c r="W6" s="916"/>
      <c r="X6" s="916"/>
      <c r="Y6" s="916"/>
      <c r="Z6" s="916"/>
      <c r="AA6" s="917"/>
      <c r="AB6" s="9"/>
      <c r="AC6" s="9"/>
      <c r="AD6" s="9"/>
      <c r="AE6" s="1"/>
    </row>
    <row r="7" spans="3:35" ht="56.25" customHeight="1" thickBot="1" x14ac:dyDescent="0.3">
      <c r="C7" s="918" t="s">
        <v>3</v>
      </c>
      <c r="D7" s="918" t="s">
        <v>4</v>
      </c>
      <c r="E7" s="920" t="s">
        <v>5</v>
      </c>
      <c r="F7" s="921"/>
      <c r="G7" s="922" t="s">
        <v>6</v>
      </c>
      <c r="H7" s="923"/>
      <c r="I7" s="924"/>
      <c r="J7" s="922" t="s">
        <v>7</v>
      </c>
      <c r="K7" s="923"/>
      <c r="L7" s="923"/>
      <c r="M7" s="924"/>
      <c r="N7" s="898" t="s">
        <v>6</v>
      </c>
      <c r="O7" s="899"/>
      <c r="P7" s="898" t="s">
        <v>7</v>
      </c>
      <c r="Q7" s="899"/>
      <c r="R7" s="900" t="s">
        <v>8</v>
      </c>
      <c r="S7" s="902" t="s">
        <v>9</v>
      </c>
      <c r="T7" s="898" t="s">
        <v>303</v>
      </c>
      <c r="U7" s="904"/>
      <c r="V7" s="899"/>
      <c r="W7" s="905" t="s">
        <v>304</v>
      </c>
      <c r="X7" s="906"/>
      <c r="Y7" s="907"/>
      <c r="Z7" s="925" t="s">
        <v>266</v>
      </c>
      <c r="AA7" s="925" t="s">
        <v>267</v>
      </c>
      <c r="AB7" s="10"/>
      <c r="AC7" s="10"/>
      <c r="AD7" s="10"/>
      <c r="AE7" s="1"/>
    </row>
    <row r="8" spans="3:35" ht="79.5" customHeight="1" thickBot="1" x14ac:dyDescent="0.3">
      <c r="C8" s="919"/>
      <c r="D8" s="919"/>
      <c r="E8" s="66" t="s">
        <v>10</v>
      </c>
      <c r="F8" s="66" t="s">
        <v>11</v>
      </c>
      <c r="G8" s="66" t="s">
        <v>10</v>
      </c>
      <c r="H8" s="71" t="s">
        <v>12</v>
      </c>
      <c r="I8" s="66" t="s">
        <v>13</v>
      </c>
      <c r="J8" s="66" t="s">
        <v>10</v>
      </c>
      <c r="K8" s="71" t="s">
        <v>14</v>
      </c>
      <c r="L8" s="66" t="s">
        <v>15</v>
      </c>
      <c r="M8" s="66" t="s">
        <v>16</v>
      </c>
      <c r="N8" s="305" t="s">
        <v>17</v>
      </c>
      <c r="O8" s="301" t="s">
        <v>12</v>
      </c>
      <c r="P8" s="67" t="s">
        <v>17</v>
      </c>
      <c r="Q8" s="301" t="s">
        <v>14</v>
      </c>
      <c r="R8" s="901"/>
      <c r="S8" s="903"/>
      <c r="T8" s="68" t="s">
        <v>414</v>
      </c>
      <c r="U8" s="68" t="s">
        <v>415</v>
      </c>
      <c r="V8" s="68" t="s">
        <v>265</v>
      </c>
      <c r="W8" s="68" t="s">
        <v>414</v>
      </c>
      <c r="X8" s="68" t="s">
        <v>415</v>
      </c>
      <c r="Y8" s="68" t="s">
        <v>265</v>
      </c>
      <c r="Z8" s="926"/>
      <c r="AA8" s="926"/>
      <c r="AB8" s="10"/>
      <c r="AC8" s="10"/>
      <c r="AD8" s="10"/>
      <c r="AE8" s="1"/>
    </row>
    <row r="9" spans="3:35" ht="126" customHeight="1" thickBot="1" x14ac:dyDescent="0.3">
      <c r="C9" s="885" t="s">
        <v>18</v>
      </c>
      <c r="D9" s="888" t="s">
        <v>19</v>
      </c>
      <c r="E9" s="891">
        <v>1</v>
      </c>
      <c r="F9" s="893" t="s">
        <v>20</v>
      </c>
      <c r="G9" s="95">
        <v>101</v>
      </c>
      <c r="H9" s="96" t="s">
        <v>21</v>
      </c>
      <c r="I9" s="97">
        <v>0.6</v>
      </c>
      <c r="J9" s="275" t="s">
        <v>22</v>
      </c>
      <c r="K9" s="96" t="s">
        <v>23</v>
      </c>
      <c r="L9" s="98" t="s">
        <v>24</v>
      </c>
      <c r="M9" s="99">
        <v>1</v>
      </c>
      <c r="N9" s="295" t="s">
        <v>25</v>
      </c>
      <c r="O9" s="100" t="s">
        <v>26</v>
      </c>
      <c r="P9" s="44" t="s">
        <v>27</v>
      </c>
      <c r="Q9" s="33" t="s">
        <v>306</v>
      </c>
      <c r="R9" s="34" t="s">
        <v>307</v>
      </c>
      <c r="S9" s="34" t="s">
        <v>28</v>
      </c>
      <c r="T9" s="94">
        <v>256353</v>
      </c>
      <c r="U9" s="92">
        <v>0</v>
      </c>
      <c r="V9" s="50">
        <f>+U9/T9</f>
        <v>0</v>
      </c>
      <c r="W9" s="69">
        <f>237265+T9</f>
        <v>493618</v>
      </c>
      <c r="X9" s="70">
        <f>401906+U9</f>
        <v>401906</v>
      </c>
      <c r="Y9" s="50">
        <f>+X9/W9</f>
        <v>0.81420450631865127</v>
      </c>
      <c r="Z9" s="281" t="s">
        <v>295</v>
      </c>
      <c r="AA9" s="808" t="s">
        <v>436</v>
      </c>
      <c r="AB9" s="11"/>
      <c r="AC9" s="12"/>
      <c r="AD9" s="91"/>
      <c r="AE9" s="1"/>
    </row>
    <row r="10" spans="3:35" ht="81" customHeight="1" thickBot="1" x14ac:dyDescent="0.3">
      <c r="C10" s="886"/>
      <c r="D10" s="889"/>
      <c r="E10" s="892"/>
      <c r="F10" s="894"/>
      <c r="G10" s="832">
        <v>102</v>
      </c>
      <c r="H10" s="835" t="s">
        <v>29</v>
      </c>
      <c r="I10" s="895">
        <v>0.2</v>
      </c>
      <c r="J10" s="275" t="s">
        <v>30</v>
      </c>
      <c r="K10" s="286" t="s">
        <v>31</v>
      </c>
      <c r="L10" s="293" t="s">
        <v>24</v>
      </c>
      <c r="M10" s="295">
        <v>0.4</v>
      </c>
      <c r="N10" s="847" t="s">
        <v>32</v>
      </c>
      <c r="O10" s="813" t="s">
        <v>33</v>
      </c>
      <c r="P10" s="847" t="s">
        <v>34</v>
      </c>
      <c r="Q10" s="813" t="s">
        <v>331</v>
      </c>
      <c r="R10" s="858" t="s">
        <v>305</v>
      </c>
      <c r="S10" s="858" t="s">
        <v>28</v>
      </c>
      <c r="T10" s="881">
        <v>42500</v>
      </c>
      <c r="U10" s="881">
        <v>0</v>
      </c>
      <c r="V10" s="769">
        <f t="shared" ref="V10:V69" si="0">+U10/T10</f>
        <v>0</v>
      </c>
      <c r="W10" s="881">
        <f>42500+T10</f>
        <v>85000</v>
      </c>
      <c r="X10" s="883">
        <f>40305+U10</f>
        <v>40305</v>
      </c>
      <c r="Y10" s="769">
        <f t="shared" ref="Y10:Y69" si="1">+X10/W10</f>
        <v>0.47417647058823531</v>
      </c>
      <c r="Z10" s="789" t="s">
        <v>295</v>
      </c>
      <c r="AA10" s="861"/>
      <c r="AB10" s="11"/>
      <c r="AC10" s="12"/>
      <c r="AD10" s="13"/>
      <c r="AE10" s="1"/>
    </row>
    <row r="11" spans="3:35" ht="81.75" customHeight="1" thickBot="1" x14ac:dyDescent="0.3">
      <c r="C11" s="886"/>
      <c r="D11" s="889"/>
      <c r="E11" s="892"/>
      <c r="F11" s="894"/>
      <c r="G11" s="833"/>
      <c r="H11" s="836"/>
      <c r="I11" s="896"/>
      <c r="J11" s="14" t="s">
        <v>35</v>
      </c>
      <c r="K11" s="47" t="s">
        <v>36</v>
      </c>
      <c r="L11" s="293" t="s">
        <v>24</v>
      </c>
      <c r="M11" s="44">
        <v>0.3</v>
      </c>
      <c r="N11" s="849"/>
      <c r="O11" s="815"/>
      <c r="P11" s="849"/>
      <c r="Q11" s="815"/>
      <c r="R11" s="860"/>
      <c r="S11" s="860"/>
      <c r="T11" s="882"/>
      <c r="U11" s="882"/>
      <c r="V11" s="770"/>
      <c r="W11" s="882"/>
      <c r="X11" s="884"/>
      <c r="Y11" s="770"/>
      <c r="Z11" s="790"/>
      <c r="AA11" s="809"/>
      <c r="AB11" s="11"/>
      <c r="AC11" s="12"/>
      <c r="AD11" s="12"/>
      <c r="AE11" s="1"/>
    </row>
    <row r="12" spans="3:35" ht="156" customHeight="1" thickBot="1" x14ac:dyDescent="0.3">
      <c r="C12" s="886"/>
      <c r="D12" s="889"/>
      <c r="E12" s="892"/>
      <c r="F12" s="894"/>
      <c r="G12" s="834"/>
      <c r="H12" s="837"/>
      <c r="I12" s="897"/>
      <c r="J12" s="14" t="s">
        <v>37</v>
      </c>
      <c r="K12" s="47" t="s">
        <v>38</v>
      </c>
      <c r="L12" s="72" t="s">
        <v>24</v>
      </c>
      <c r="M12" s="44">
        <v>0.3</v>
      </c>
      <c r="N12" s="44" t="s">
        <v>39</v>
      </c>
      <c r="O12" s="33" t="s">
        <v>308</v>
      </c>
      <c r="P12" s="44" t="s">
        <v>40</v>
      </c>
      <c r="Q12" s="33" t="s">
        <v>308</v>
      </c>
      <c r="R12" s="34" t="s">
        <v>41</v>
      </c>
      <c r="S12" s="34" t="s">
        <v>42</v>
      </c>
      <c r="T12" s="36">
        <v>1</v>
      </c>
      <c r="U12" s="36">
        <v>1</v>
      </c>
      <c r="V12" s="50">
        <f t="shared" si="0"/>
        <v>1</v>
      </c>
      <c r="W12" s="36">
        <f>1+T12</f>
        <v>2</v>
      </c>
      <c r="X12" s="36">
        <f>1+U12</f>
        <v>2</v>
      </c>
      <c r="Y12" s="50">
        <f t="shared" si="1"/>
        <v>1</v>
      </c>
      <c r="Z12" s="248" t="s">
        <v>425</v>
      </c>
      <c r="AA12" s="249" t="s">
        <v>292</v>
      </c>
      <c r="AB12" s="11"/>
      <c r="AC12" s="12"/>
      <c r="AD12" s="12"/>
      <c r="AE12" s="1"/>
    </row>
    <row r="13" spans="3:35" ht="150.75" customHeight="1" thickBot="1" x14ac:dyDescent="0.3">
      <c r="C13" s="886"/>
      <c r="D13" s="889"/>
      <c r="E13" s="892"/>
      <c r="F13" s="894"/>
      <c r="G13" s="832">
        <v>103</v>
      </c>
      <c r="H13" s="835" t="s">
        <v>43</v>
      </c>
      <c r="I13" s="895">
        <v>0.2</v>
      </c>
      <c r="J13" s="841" t="s">
        <v>44</v>
      </c>
      <c r="K13" s="908" t="s">
        <v>45</v>
      </c>
      <c r="L13" s="844" t="s">
        <v>24</v>
      </c>
      <c r="M13" s="847">
        <v>0.5</v>
      </c>
      <c r="N13" s="101" t="s">
        <v>106</v>
      </c>
      <c r="O13" s="33" t="s">
        <v>324</v>
      </c>
      <c r="P13" s="44" t="s">
        <v>108</v>
      </c>
      <c r="Q13" s="33" t="s">
        <v>329</v>
      </c>
      <c r="R13" s="49" t="s">
        <v>325</v>
      </c>
      <c r="S13" s="34" t="s">
        <v>42</v>
      </c>
      <c r="T13" s="36">
        <v>0</v>
      </c>
      <c r="U13" s="36">
        <v>0</v>
      </c>
      <c r="V13" s="50" t="e">
        <f t="shared" si="0"/>
        <v>#DIV/0!</v>
      </c>
      <c r="W13" s="36">
        <f t="shared" ref="W13:X15" si="2">+T13</f>
        <v>0</v>
      </c>
      <c r="X13" s="36">
        <f t="shared" si="2"/>
        <v>0</v>
      </c>
      <c r="Y13" s="50" t="e">
        <f t="shared" si="1"/>
        <v>#DIV/0!</v>
      </c>
      <c r="Z13" s="248" t="s">
        <v>295</v>
      </c>
      <c r="AA13" s="271" t="s">
        <v>292</v>
      </c>
      <c r="AB13" s="11"/>
      <c r="AC13" s="12"/>
      <c r="AD13" s="12"/>
      <c r="AE13" s="76"/>
      <c r="AG13" s="77"/>
      <c r="AI13" s="77"/>
    </row>
    <row r="14" spans="3:35" ht="132" customHeight="1" thickBot="1" x14ac:dyDescent="0.3">
      <c r="C14" s="886"/>
      <c r="D14" s="889"/>
      <c r="E14" s="892"/>
      <c r="F14" s="894"/>
      <c r="G14" s="833"/>
      <c r="H14" s="836"/>
      <c r="I14" s="896"/>
      <c r="J14" s="843"/>
      <c r="K14" s="909"/>
      <c r="L14" s="846"/>
      <c r="M14" s="849"/>
      <c r="N14" s="848" t="s">
        <v>46</v>
      </c>
      <c r="O14" s="814" t="s">
        <v>47</v>
      </c>
      <c r="P14" s="297" t="s">
        <v>48</v>
      </c>
      <c r="Q14" s="291" t="s">
        <v>330</v>
      </c>
      <c r="R14" s="49" t="s">
        <v>310</v>
      </c>
      <c r="S14" s="34" t="s">
        <v>49</v>
      </c>
      <c r="T14" s="36">
        <v>20</v>
      </c>
      <c r="U14" s="36">
        <v>0</v>
      </c>
      <c r="V14" s="50">
        <f>+U14/T14</f>
        <v>0</v>
      </c>
      <c r="W14" s="36">
        <f t="shared" si="2"/>
        <v>20</v>
      </c>
      <c r="X14" s="36">
        <f t="shared" si="2"/>
        <v>0</v>
      </c>
      <c r="Y14" s="50">
        <f>+X14/W14</f>
        <v>0</v>
      </c>
      <c r="Z14" s="248" t="s">
        <v>435</v>
      </c>
      <c r="AA14" s="269" t="s">
        <v>294</v>
      </c>
      <c r="AB14" s="11"/>
      <c r="AC14" s="12"/>
      <c r="AD14" s="12"/>
      <c r="AE14" s="76"/>
      <c r="AG14" s="77"/>
      <c r="AH14" s="77"/>
      <c r="AI14" s="77"/>
    </row>
    <row r="15" spans="3:35" ht="123" customHeight="1" thickBot="1" x14ac:dyDescent="0.3">
      <c r="C15" s="886"/>
      <c r="D15" s="889"/>
      <c r="E15" s="892"/>
      <c r="F15" s="894"/>
      <c r="G15" s="834"/>
      <c r="H15" s="837"/>
      <c r="I15" s="897"/>
      <c r="J15" s="275" t="s">
        <v>50</v>
      </c>
      <c r="K15" s="286" t="s">
        <v>287</v>
      </c>
      <c r="L15" s="293" t="s">
        <v>24</v>
      </c>
      <c r="M15" s="295">
        <v>0.5</v>
      </c>
      <c r="N15" s="849"/>
      <c r="O15" s="815"/>
      <c r="P15" s="44" t="s">
        <v>51</v>
      </c>
      <c r="Q15" s="33" t="s">
        <v>309</v>
      </c>
      <c r="R15" s="34" t="s">
        <v>311</v>
      </c>
      <c r="S15" s="34" t="s">
        <v>42</v>
      </c>
      <c r="T15" s="37">
        <v>900</v>
      </c>
      <c r="U15" s="36">
        <v>0</v>
      </c>
      <c r="V15" s="50">
        <f t="shared" si="0"/>
        <v>0</v>
      </c>
      <c r="W15" s="37">
        <f t="shared" si="2"/>
        <v>900</v>
      </c>
      <c r="X15" s="36">
        <f t="shared" si="2"/>
        <v>0</v>
      </c>
      <c r="Y15" s="50">
        <f t="shared" si="1"/>
        <v>0</v>
      </c>
      <c r="Z15" s="259" t="s">
        <v>435</v>
      </c>
      <c r="AA15" s="272" t="s">
        <v>292</v>
      </c>
      <c r="AB15" s="11"/>
      <c r="AC15" s="12"/>
      <c r="AD15" s="12"/>
      <c r="AE15" s="1"/>
    </row>
    <row r="16" spans="3:35" ht="108.75" customHeight="1" thickBot="1" x14ac:dyDescent="0.3">
      <c r="C16" s="886"/>
      <c r="D16" s="889"/>
      <c r="E16" s="850">
        <v>2</v>
      </c>
      <c r="F16" s="853" t="s">
        <v>52</v>
      </c>
      <c r="G16" s="878">
        <v>201</v>
      </c>
      <c r="H16" s="835" t="s">
        <v>283</v>
      </c>
      <c r="I16" s="868">
        <v>0.3</v>
      </c>
      <c r="J16" s="15" t="s">
        <v>53</v>
      </c>
      <c r="K16" s="47" t="s">
        <v>54</v>
      </c>
      <c r="L16" s="73" t="s">
        <v>24</v>
      </c>
      <c r="M16" s="44">
        <v>0.5</v>
      </c>
      <c r="N16" s="810" t="s">
        <v>55</v>
      </c>
      <c r="O16" s="813" t="s">
        <v>56</v>
      </c>
      <c r="P16" s="847" t="s">
        <v>57</v>
      </c>
      <c r="Q16" s="813" t="s">
        <v>351</v>
      </c>
      <c r="R16" s="858" t="s">
        <v>58</v>
      </c>
      <c r="S16" s="858" t="s">
        <v>42</v>
      </c>
      <c r="T16" s="865">
        <v>0</v>
      </c>
      <c r="U16" s="865">
        <v>0</v>
      </c>
      <c r="V16" s="769" t="e">
        <f t="shared" si="0"/>
        <v>#DIV/0!</v>
      </c>
      <c r="W16" s="865">
        <v>0</v>
      </c>
      <c r="X16" s="865">
        <f>+U16</f>
        <v>0</v>
      </c>
      <c r="Y16" s="769" t="e">
        <f t="shared" si="1"/>
        <v>#DIV/0!</v>
      </c>
      <c r="Z16" s="862" t="s">
        <v>438</v>
      </c>
      <c r="AA16" s="808" t="s">
        <v>437</v>
      </c>
      <c r="AB16" s="11"/>
      <c r="AC16" s="12"/>
      <c r="AD16" s="13"/>
      <c r="AE16" s="1"/>
    </row>
    <row r="17" spans="3:31" ht="66" customHeight="1" thickBot="1" x14ac:dyDescent="0.3">
      <c r="C17" s="886"/>
      <c r="D17" s="889"/>
      <c r="E17" s="851"/>
      <c r="F17" s="854"/>
      <c r="G17" s="879"/>
      <c r="H17" s="837"/>
      <c r="I17" s="869"/>
      <c r="J17" s="16" t="s">
        <v>59</v>
      </c>
      <c r="K17" s="286" t="s">
        <v>60</v>
      </c>
      <c r="L17" s="74" t="s">
        <v>24</v>
      </c>
      <c r="M17" s="295">
        <v>0.5</v>
      </c>
      <c r="N17" s="811"/>
      <c r="O17" s="814"/>
      <c r="P17" s="848"/>
      <c r="Q17" s="814"/>
      <c r="R17" s="859"/>
      <c r="S17" s="859"/>
      <c r="T17" s="866"/>
      <c r="U17" s="866"/>
      <c r="V17" s="779"/>
      <c r="W17" s="866"/>
      <c r="X17" s="866"/>
      <c r="Y17" s="779"/>
      <c r="Z17" s="863"/>
      <c r="AA17" s="876"/>
      <c r="AB17" s="11"/>
      <c r="AC17" s="12"/>
      <c r="AD17" s="13"/>
      <c r="AE17" s="1"/>
    </row>
    <row r="18" spans="3:31" ht="54.75" customHeight="1" thickBot="1" x14ac:dyDescent="0.3">
      <c r="C18" s="886"/>
      <c r="D18" s="889"/>
      <c r="E18" s="851"/>
      <c r="F18" s="854"/>
      <c r="G18" s="878">
        <v>202</v>
      </c>
      <c r="H18" s="835" t="s">
        <v>281</v>
      </c>
      <c r="I18" s="868">
        <v>0.3</v>
      </c>
      <c r="J18" s="16" t="s">
        <v>61</v>
      </c>
      <c r="K18" s="286" t="s">
        <v>62</v>
      </c>
      <c r="L18" s="74" t="s">
        <v>24</v>
      </c>
      <c r="M18" s="295">
        <v>0.5</v>
      </c>
      <c r="N18" s="811"/>
      <c r="O18" s="814"/>
      <c r="P18" s="848"/>
      <c r="Q18" s="814"/>
      <c r="R18" s="859"/>
      <c r="S18" s="859"/>
      <c r="T18" s="866"/>
      <c r="U18" s="866"/>
      <c r="V18" s="779"/>
      <c r="W18" s="866"/>
      <c r="X18" s="866"/>
      <c r="Y18" s="779"/>
      <c r="Z18" s="863"/>
      <c r="AA18" s="876"/>
      <c r="AB18" s="11"/>
      <c r="AC18" s="12"/>
      <c r="AD18" s="13"/>
      <c r="AE18" s="1"/>
    </row>
    <row r="19" spans="3:31" ht="88.5" customHeight="1" thickBot="1" x14ac:dyDescent="0.3">
      <c r="C19" s="886"/>
      <c r="D19" s="889"/>
      <c r="E19" s="851"/>
      <c r="F19" s="854"/>
      <c r="G19" s="879"/>
      <c r="H19" s="837"/>
      <c r="I19" s="869"/>
      <c r="J19" s="15" t="s">
        <v>63</v>
      </c>
      <c r="K19" s="47" t="s">
        <v>64</v>
      </c>
      <c r="L19" s="73" t="s">
        <v>24</v>
      </c>
      <c r="M19" s="44">
        <v>0.5</v>
      </c>
      <c r="N19" s="811"/>
      <c r="O19" s="814"/>
      <c r="P19" s="848"/>
      <c r="Q19" s="814"/>
      <c r="R19" s="859"/>
      <c r="S19" s="859"/>
      <c r="T19" s="866"/>
      <c r="U19" s="866"/>
      <c r="V19" s="779"/>
      <c r="W19" s="866"/>
      <c r="X19" s="866"/>
      <c r="Y19" s="779"/>
      <c r="Z19" s="863"/>
      <c r="AA19" s="876"/>
      <c r="AB19" s="11"/>
      <c r="AC19" s="12"/>
      <c r="AD19" s="17"/>
      <c r="AE19" s="1"/>
    </row>
    <row r="20" spans="3:31" ht="66" customHeight="1" thickBot="1" x14ac:dyDescent="0.3">
      <c r="C20" s="886"/>
      <c r="D20" s="889"/>
      <c r="E20" s="851"/>
      <c r="F20" s="854"/>
      <c r="G20" s="878">
        <v>203</v>
      </c>
      <c r="H20" s="835" t="s">
        <v>282</v>
      </c>
      <c r="I20" s="868">
        <v>0.2</v>
      </c>
      <c r="J20" s="15" t="s">
        <v>65</v>
      </c>
      <c r="K20" s="47" t="s">
        <v>66</v>
      </c>
      <c r="L20" s="73" t="s">
        <v>24</v>
      </c>
      <c r="M20" s="44">
        <v>0.4</v>
      </c>
      <c r="N20" s="811"/>
      <c r="O20" s="814"/>
      <c r="P20" s="848"/>
      <c r="Q20" s="814"/>
      <c r="R20" s="859"/>
      <c r="S20" s="859"/>
      <c r="T20" s="866"/>
      <c r="U20" s="866"/>
      <c r="V20" s="779"/>
      <c r="W20" s="866"/>
      <c r="X20" s="866"/>
      <c r="Y20" s="779"/>
      <c r="Z20" s="863"/>
      <c r="AA20" s="876"/>
      <c r="AB20" s="11"/>
      <c r="AC20" s="12"/>
      <c r="AD20" s="12"/>
      <c r="AE20" s="1"/>
    </row>
    <row r="21" spans="3:31" ht="79.5" customHeight="1" thickBot="1" x14ac:dyDescent="0.3">
      <c r="C21" s="886"/>
      <c r="D21" s="889"/>
      <c r="E21" s="851"/>
      <c r="F21" s="854"/>
      <c r="G21" s="880"/>
      <c r="H21" s="836"/>
      <c r="I21" s="875"/>
      <c r="J21" s="15" t="s">
        <v>67</v>
      </c>
      <c r="K21" s="47" t="s">
        <v>68</v>
      </c>
      <c r="L21" s="73" t="s">
        <v>24</v>
      </c>
      <c r="M21" s="44">
        <v>0.3</v>
      </c>
      <c r="N21" s="811"/>
      <c r="O21" s="814"/>
      <c r="P21" s="848"/>
      <c r="Q21" s="814"/>
      <c r="R21" s="859"/>
      <c r="S21" s="859"/>
      <c r="T21" s="866"/>
      <c r="U21" s="866"/>
      <c r="V21" s="779"/>
      <c r="W21" s="866"/>
      <c r="X21" s="866"/>
      <c r="Y21" s="779"/>
      <c r="Z21" s="863"/>
      <c r="AA21" s="876"/>
      <c r="AB21" s="11"/>
      <c r="AC21" s="11"/>
      <c r="AD21" s="12"/>
      <c r="AE21" s="1"/>
    </row>
    <row r="22" spans="3:31" ht="86.25" customHeight="1" thickBot="1" x14ac:dyDescent="0.3">
      <c r="C22" s="886"/>
      <c r="D22" s="889"/>
      <c r="E22" s="852"/>
      <c r="F22" s="855"/>
      <c r="G22" s="879"/>
      <c r="H22" s="837"/>
      <c r="I22" s="869"/>
      <c r="J22" s="18" t="s">
        <v>67</v>
      </c>
      <c r="K22" s="48" t="s">
        <v>69</v>
      </c>
      <c r="L22" s="75" t="s">
        <v>24</v>
      </c>
      <c r="M22" s="45">
        <v>0.3</v>
      </c>
      <c r="N22" s="812"/>
      <c r="O22" s="815"/>
      <c r="P22" s="849"/>
      <c r="Q22" s="815"/>
      <c r="R22" s="860"/>
      <c r="S22" s="860"/>
      <c r="T22" s="867"/>
      <c r="U22" s="867"/>
      <c r="V22" s="770"/>
      <c r="W22" s="867"/>
      <c r="X22" s="867"/>
      <c r="Y22" s="770"/>
      <c r="Z22" s="864"/>
      <c r="AA22" s="877"/>
      <c r="AB22" s="11"/>
      <c r="AC22" s="11"/>
      <c r="AD22" s="11"/>
      <c r="AE22" s="1"/>
    </row>
    <row r="23" spans="3:31" ht="234.75" customHeight="1" thickBot="1" x14ac:dyDescent="0.3">
      <c r="C23" s="886"/>
      <c r="D23" s="889"/>
      <c r="E23" s="870">
        <v>3</v>
      </c>
      <c r="F23" s="854" t="s">
        <v>70</v>
      </c>
      <c r="G23" s="279">
        <v>301</v>
      </c>
      <c r="H23" s="287" t="s">
        <v>71</v>
      </c>
      <c r="I23" s="304">
        <v>0.1</v>
      </c>
      <c r="J23" s="19" t="s">
        <v>72</v>
      </c>
      <c r="K23" s="288" t="s">
        <v>288</v>
      </c>
      <c r="L23" s="73" t="s">
        <v>24</v>
      </c>
      <c r="M23" s="44">
        <v>1</v>
      </c>
      <c r="N23" s="45" t="s">
        <v>73</v>
      </c>
      <c r="O23" s="33" t="s">
        <v>74</v>
      </c>
      <c r="P23" s="44" t="s">
        <v>75</v>
      </c>
      <c r="Q23" s="33" t="s">
        <v>358</v>
      </c>
      <c r="R23" s="34" t="s">
        <v>76</v>
      </c>
      <c r="S23" s="34" t="s">
        <v>229</v>
      </c>
      <c r="T23" s="34">
        <v>0.3</v>
      </c>
      <c r="U23" s="34">
        <v>0.3</v>
      </c>
      <c r="V23" s="50">
        <f t="shared" si="0"/>
        <v>1</v>
      </c>
      <c r="W23" s="88">
        <f>+T23</f>
        <v>0.3</v>
      </c>
      <c r="X23" s="88">
        <f>+U23</f>
        <v>0.3</v>
      </c>
      <c r="Y23" s="50">
        <f t="shared" si="1"/>
        <v>1</v>
      </c>
      <c r="Z23" s="253" t="s">
        <v>424</v>
      </c>
      <c r="AA23" s="249" t="s">
        <v>292</v>
      </c>
      <c r="AB23" s="11"/>
      <c r="AC23" s="11"/>
      <c r="AD23" s="12"/>
      <c r="AE23" s="76"/>
    </row>
    <row r="24" spans="3:31" ht="409.5" customHeight="1" thickBot="1" x14ac:dyDescent="0.3">
      <c r="C24" s="886"/>
      <c r="D24" s="889"/>
      <c r="E24" s="870"/>
      <c r="F24" s="854"/>
      <c r="G24" s="832">
        <v>302</v>
      </c>
      <c r="H24" s="835" t="s">
        <v>78</v>
      </c>
      <c r="I24" s="868">
        <v>0.1</v>
      </c>
      <c r="J24" s="841" t="s">
        <v>79</v>
      </c>
      <c r="K24" s="871" t="s">
        <v>80</v>
      </c>
      <c r="L24" s="873" t="s">
        <v>81</v>
      </c>
      <c r="M24" s="810">
        <v>0.5</v>
      </c>
      <c r="N24" s="45" t="s">
        <v>82</v>
      </c>
      <c r="O24" s="38" t="s">
        <v>83</v>
      </c>
      <c r="P24" s="45" t="s">
        <v>84</v>
      </c>
      <c r="Q24" s="38" t="s">
        <v>85</v>
      </c>
      <c r="R24" s="35" t="s">
        <v>359</v>
      </c>
      <c r="S24" s="35" t="s">
        <v>77</v>
      </c>
      <c r="T24" s="78">
        <v>0.35</v>
      </c>
      <c r="U24" s="78">
        <v>0.32</v>
      </c>
      <c r="V24" s="50">
        <f t="shared" si="0"/>
        <v>0.91428571428571437</v>
      </c>
      <c r="W24" s="87">
        <f>28%+T24</f>
        <v>0.63</v>
      </c>
      <c r="X24" s="87">
        <f>28%+U24</f>
        <v>0.60000000000000009</v>
      </c>
      <c r="Y24" s="50">
        <f t="shared" si="1"/>
        <v>0.95238095238095255</v>
      </c>
      <c r="Z24" s="257" t="s">
        <v>432</v>
      </c>
      <c r="AA24" s="258" t="s">
        <v>431</v>
      </c>
      <c r="AB24" s="11"/>
      <c r="AC24" s="11"/>
      <c r="AD24" s="11"/>
      <c r="AE24" s="1"/>
    </row>
    <row r="25" spans="3:31" ht="180.75" customHeight="1" thickBot="1" x14ac:dyDescent="0.3">
      <c r="C25" s="886"/>
      <c r="D25" s="889"/>
      <c r="E25" s="870"/>
      <c r="F25" s="854"/>
      <c r="G25" s="834"/>
      <c r="H25" s="837"/>
      <c r="I25" s="869"/>
      <c r="J25" s="843"/>
      <c r="K25" s="872"/>
      <c r="L25" s="874"/>
      <c r="M25" s="812"/>
      <c r="N25" s="45" t="s">
        <v>87</v>
      </c>
      <c r="O25" s="38" t="s">
        <v>88</v>
      </c>
      <c r="P25" s="45" t="s">
        <v>89</v>
      </c>
      <c r="Q25" s="38" t="s">
        <v>360</v>
      </c>
      <c r="R25" s="35" t="s">
        <v>86</v>
      </c>
      <c r="S25" s="35" t="s">
        <v>77</v>
      </c>
      <c r="T25" s="78">
        <v>0.13200000000000001</v>
      </c>
      <c r="U25" s="35">
        <v>0</v>
      </c>
      <c r="V25" s="50">
        <f t="shared" si="0"/>
        <v>0</v>
      </c>
      <c r="W25" s="35">
        <f>+T25</f>
        <v>0.13200000000000001</v>
      </c>
      <c r="X25" s="35">
        <f>+U25</f>
        <v>0</v>
      </c>
      <c r="Y25" s="50">
        <f t="shared" si="1"/>
        <v>0</v>
      </c>
      <c r="Z25" s="257" t="s">
        <v>433</v>
      </c>
      <c r="AA25" s="254" t="s">
        <v>434</v>
      </c>
      <c r="AB25" s="11"/>
      <c r="AC25" s="11"/>
      <c r="AD25" s="11"/>
      <c r="AE25" s="1"/>
    </row>
    <row r="26" spans="3:31" ht="108.75" customHeight="1" thickBot="1" x14ac:dyDescent="0.3">
      <c r="C26" s="886"/>
      <c r="D26" s="889"/>
      <c r="E26" s="870"/>
      <c r="F26" s="854"/>
      <c r="G26" s="832">
        <v>303</v>
      </c>
      <c r="H26" s="835" t="s">
        <v>90</v>
      </c>
      <c r="I26" s="868">
        <v>0.3</v>
      </c>
      <c r="J26" s="841" t="s">
        <v>91</v>
      </c>
      <c r="K26" s="835" t="s">
        <v>289</v>
      </c>
      <c r="L26" s="844" t="s">
        <v>81</v>
      </c>
      <c r="M26" s="847">
        <v>1</v>
      </c>
      <c r="N26" s="810" t="s">
        <v>92</v>
      </c>
      <c r="O26" s="813" t="s">
        <v>93</v>
      </c>
      <c r="P26" s="44" t="s">
        <v>94</v>
      </c>
      <c r="Q26" s="33" t="s">
        <v>423</v>
      </c>
      <c r="R26" s="34" t="s">
        <v>95</v>
      </c>
      <c r="S26" s="34" t="s">
        <v>96</v>
      </c>
      <c r="T26" s="34">
        <v>0.7</v>
      </c>
      <c r="U26" s="79">
        <v>0</v>
      </c>
      <c r="V26" s="50">
        <f t="shared" si="0"/>
        <v>0</v>
      </c>
      <c r="W26" s="34">
        <v>0.7</v>
      </c>
      <c r="X26" s="79">
        <f>(56.11%+U26)/2</f>
        <v>0.28055000000000002</v>
      </c>
      <c r="Y26" s="50">
        <f t="shared" si="1"/>
        <v>0.40078571428571436</v>
      </c>
      <c r="Z26" s="260" t="s">
        <v>296</v>
      </c>
      <c r="AA26" s="808" t="s">
        <v>457</v>
      </c>
      <c r="AB26" s="11"/>
      <c r="AC26" s="11"/>
      <c r="AD26" s="80" t="s">
        <v>299</v>
      </c>
      <c r="AE26" s="1"/>
    </row>
    <row r="27" spans="3:31" ht="124.5" customHeight="1" thickBot="1" x14ac:dyDescent="0.3">
      <c r="C27" s="886"/>
      <c r="D27" s="889"/>
      <c r="E27" s="870"/>
      <c r="F27" s="854"/>
      <c r="G27" s="833"/>
      <c r="H27" s="836"/>
      <c r="I27" s="875"/>
      <c r="J27" s="842"/>
      <c r="K27" s="836"/>
      <c r="L27" s="845"/>
      <c r="M27" s="848"/>
      <c r="N27" s="812"/>
      <c r="O27" s="815"/>
      <c r="P27" s="44" t="s">
        <v>97</v>
      </c>
      <c r="Q27" s="33" t="s">
        <v>353</v>
      </c>
      <c r="R27" s="34" t="s">
        <v>95</v>
      </c>
      <c r="S27" s="34" t="s">
        <v>96</v>
      </c>
      <c r="T27" s="34">
        <v>1</v>
      </c>
      <c r="U27" s="88">
        <v>0</v>
      </c>
      <c r="V27" s="105">
        <f t="shared" si="0"/>
        <v>0</v>
      </c>
      <c r="W27" s="34">
        <v>1</v>
      </c>
      <c r="X27" s="88">
        <f>(100%+U27)/2</f>
        <v>0.5</v>
      </c>
      <c r="Y27" s="50">
        <f t="shared" si="1"/>
        <v>0.5</v>
      </c>
      <c r="Z27" s="260" t="s">
        <v>296</v>
      </c>
      <c r="AA27" s="861"/>
      <c r="AB27" s="11"/>
      <c r="AC27" s="11"/>
      <c r="AD27" s="12"/>
      <c r="AE27" s="1"/>
    </row>
    <row r="28" spans="3:31" ht="143.25" customHeight="1" thickBot="1" x14ac:dyDescent="0.3">
      <c r="C28" s="886"/>
      <c r="D28" s="889"/>
      <c r="E28" s="870"/>
      <c r="F28" s="854"/>
      <c r="G28" s="833"/>
      <c r="H28" s="836"/>
      <c r="I28" s="875"/>
      <c r="J28" s="842"/>
      <c r="K28" s="836"/>
      <c r="L28" s="845"/>
      <c r="M28" s="848"/>
      <c r="N28" s="64" t="s">
        <v>98</v>
      </c>
      <c r="O28" s="33" t="s">
        <v>354</v>
      </c>
      <c r="P28" s="44" t="s">
        <v>99</v>
      </c>
      <c r="Q28" s="33" t="s">
        <v>100</v>
      </c>
      <c r="R28" s="34" t="s">
        <v>101</v>
      </c>
      <c r="S28" s="34" t="s">
        <v>42</v>
      </c>
      <c r="T28" s="36">
        <v>1</v>
      </c>
      <c r="U28" s="36">
        <v>0</v>
      </c>
      <c r="V28" s="50">
        <f t="shared" si="0"/>
        <v>0</v>
      </c>
      <c r="W28" s="36">
        <f>1+T28</f>
        <v>2</v>
      </c>
      <c r="X28" s="36">
        <f>1+U28</f>
        <v>1</v>
      </c>
      <c r="Y28" s="50">
        <f t="shared" si="1"/>
        <v>0.5</v>
      </c>
      <c r="Z28" s="261" t="s">
        <v>456</v>
      </c>
      <c r="AA28" s="861"/>
      <c r="AB28" s="11"/>
      <c r="AC28" s="11"/>
      <c r="AD28" s="12"/>
      <c r="AE28" s="1"/>
    </row>
    <row r="29" spans="3:31" ht="154.5" customHeight="1" thickBot="1" x14ac:dyDescent="0.3">
      <c r="C29" s="886"/>
      <c r="D29" s="889"/>
      <c r="E29" s="870"/>
      <c r="F29" s="854"/>
      <c r="G29" s="833"/>
      <c r="H29" s="836"/>
      <c r="I29" s="875"/>
      <c r="J29" s="842"/>
      <c r="K29" s="836"/>
      <c r="L29" s="845"/>
      <c r="M29" s="848"/>
      <c r="N29" s="298" t="s">
        <v>102</v>
      </c>
      <c r="O29" s="291" t="s">
        <v>355</v>
      </c>
      <c r="P29" s="44" t="s">
        <v>103</v>
      </c>
      <c r="Q29" s="33" t="s">
        <v>104</v>
      </c>
      <c r="R29" s="34" t="s">
        <v>105</v>
      </c>
      <c r="S29" s="34" t="s">
        <v>42</v>
      </c>
      <c r="T29" s="36">
        <v>12</v>
      </c>
      <c r="U29" s="36">
        <v>0</v>
      </c>
      <c r="V29" s="50">
        <f t="shared" si="0"/>
        <v>0</v>
      </c>
      <c r="W29" s="36">
        <f>12+T29</f>
        <v>24</v>
      </c>
      <c r="X29" s="36">
        <f>10+U29</f>
        <v>10</v>
      </c>
      <c r="Y29" s="50">
        <f t="shared" si="1"/>
        <v>0.41666666666666669</v>
      </c>
      <c r="Z29" s="261" t="s">
        <v>296</v>
      </c>
      <c r="AA29" s="809"/>
      <c r="AB29" s="11"/>
      <c r="AC29" s="11"/>
      <c r="AD29" s="12"/>
      <c r="AE29" s="1"/>
    </row>
    <row r="30" spans="3:31" ht="179.25" customHeight="1" thickBot="1" x14ac:dyDescent="0.3">
      <c r="C30" s="886"/>
      <c r="D30" s="889"/>
      <c r="E30" s="870"/>
      <c r="F30" s="854"/>
      <c r="G30" s="834"/>
      <c r="H30" s="837"/>
      <c r="I30" s="869"/>
      <c r="J30" s="843"/>
      <c r="K30" s="837"/>
      <c r="L30" s="846"/>
      <c r="M30" s="849"/>
      <c r="N30" s="45" t="s">
        <v>326</v>
      </c>
      <c r="O30" s="33" t="s">
        <v>107</v>
      </c>
      <c r="P30" s="44" t="s">
        <v>327</v>
      </c>
      <c r="Q30" s="33" t="s">
        <v>109</v>
      </c>
      <c r="R30" s="34" t="s">
        <v>328</v>
      </c>
      <c r="S30" s="34" t="s">
        <v>42</v>
      </c>
      <c r="T30" s="36">
        <v>0</v>
      </c>
      <c r="U30" s="36">
        <v>0</v>
      </c>
      <c r="V30" s="50" t="e">
        <f>+U30/T30</f>
        <v>#DIV/0!</v>
      </c>
      <c r="W30" s="36">
        <v>5</v>
      </c>
      <c r="X30" s="36">
        <f>+U30</f>
        <v>0</v>
      </c>
      <c r="Y30" s="50">
        <f t="shared" si="1"/>
        <v>0</v>
      </c>
      <c r="Z30" s="248" t="s">
        <v>438</v>
      </c>
      <c r="AA30" s="254" t="s">
        <v>439</v>
      </c>
      <c r="AB30" s="11"/>
      <c r="AC30" s="11"/>
      <c r="AD30" s="12"/>
      <c r="AE30" s="1"/>
    </row>
    <row r="31" spans="3:31" ht="203.25" customHeight="1" thickBot="1" x14ac:dyDescent="0.3">
      <c r="C31" s="886"/>
      <c r="D31" s="889"/>
      <c r="E31" s="870"/>
      <c r="F31" s="854"/>
      <c r="G31" s="832">
        <v>304</v>
      </c>
      <c r="H31" s="835" t="s">
        <v>110</v>
      </c>
      <c r="I31" s="838">
        <v>0.1</v>
      </c>
      <c r="J31" s="841" t="s">
        <v>111</v>
      </c>
      <c r="K31" s="835" t="s">
        <v>290</v>
      </c>
      <c r="L31" s="844" t="s">
        <v>81</v>
      </c>
      <c r="M31" s="847">
        <v>1</v>
      </c>
      <c r="N31" s="45" t="s">
        <v>112</v>
      </c>
      <c r="O31" s="33" t="s">
        <v>113</v>
      </c>
      <c r="P31" s="44" t="s">
        <v>114</v>
      </c>
      <c r="Q31" s="33" t="s">
        <v>115</v>
      </c>
      <c r="R31" s="34" t="s">
        <v>116</v>
      </c>
      <c r="S31" s="34" t="s">
        <v>42</v>
      </c>
      <c r="T31" s="36">
        <v>0</v>
      </c>
      <c r="U31" s="36">
        <v>0</v>
      </c>
      <c r="V31" s="50" t="e">
        <f t="shared" si="0"/>
        <v>#DIV/0!</v>
      </c>
      <c r="W31" s="36">
        <v>0</v>
      </c>
      <c r="X31" s="36">
        <f>+U31</f>
        <v>0</v>
      </c>
      <c r="Y31" s="50" t="e">
        <f t="shared" si="1"/>
        <v>#DIV/0!</v>
      </c>
      <c r="Z31" s="261" t="s">
        <v>438</v>
      </c>
      <c r="AA31" s="268" t="s">
        <v>437</v>
      </c>
      <c r="AB31" s="11"/>
      <c r="AC31" s="11"/>
      <c r="AD31" s="12"/>
      <c r="AE31" s="1"/>
    </row>
    <row r="32" spans="3:31" ht="155.25" customHeight="1" thickBot="1" x14ac:dyDescent="0.3">
      <c r="C32" s="886"/>
      <c r="D32" s="889"/>
      <c r="E32" s="870"/>
      <c r="F32" s="854"/>
      <c r="G32" s="833"/>
      <c r="H32" s="836"/>
      <c r="I32" s="839"/>
      <c r="J32" s="842"/>
      <c r="K32" s="836"/>
      <c r="L32" s="845"/>
      <c r="M32" s="848"/>
      <c r="N32" s="810" t="s">
        <v>117</v>
      </c>
      <c r="O32" s="813" t="s">
        <v>118</v>
      </c>
      <c r="P32" s="44" t="s">
        <v>119</v>
      </c>
      <c r="Q32" s="33" t="s">
        <v>347</v>
      </c>
      <c r="R32" s="34" t="s">
        <v>348</v>
      </c>
      <c r="S32" s="34" t="s">
        <v>42</v>
      </c>
      <c r="T32" s="36">
        <v>1</v>
      </c>
      <c r="U32" s="36">
        <v>0</v>
      </c>
      <c r="V32" s="50">
        <f t="shared" si="0"/>
        <v>0</v>
      </c>
      <c r="W32" s="36">
        <f>+T32</f>
        <v>1</v>
      </c>
      <c r="X32" s="36">
        <f>+U32</f>
        <v>0</v>
      </c>
      <c r="Y32" s="50">
        <f t="shared" si="1"/>
        <v>0</v>
      </c>
      <c r="Z32" s="261" t="s">
        <v>296</v>
      </c>
      <c r="AA32" s="808" t="s">
        <v>437</v>
      </c>
      <c r="AB32" s="11"/>
      <c r="AC32" s="11"/>
      <c r="AD32" s="12"/>
      <c r="AE32" s="1"/>
    </row>
    <row r="33" spans="3:31" ht="153" customHeight="1" thickBot="1" x14ac:dyDescent="0.3">
      <c r="C33" s="886"/>
      <c r="D33" s="889"/>
      <c r="E33" s="870"/>
      <c r="F33" s="854"/>
      <c r="G33" s="834"/>
      <c r="H33" s="837"/>
      <c r="I33" s="840"/>
      <c r="J33" s="843"/>
      <c r="K33" s="837"/>
      <c r="L33" s="846"/>
      <c r="M33" s="849"/>
      <c r="N33" s="812"/>
      <c r="O33" s="815"/>
      <c r="P33" s="44" t="s">
        <v>120</v>
      </c>
      <c r="Q33" s="33" t="s">
        <v>121</v>
      </c>
      <c r="R33" s="34" t="s">
        <v>349</v>
      </c>
      <c r="S33" s="34" t="s">
        <v>42</v>
      </c>
      <c r="T33" s="36">
        <v>1</v>
      </c>
      <c r="U33" s="36">
        <v>0</v>
      </c>
      <c r="V33" s="50">
        <f t="shared" si="0"/>
        <v>0</v>
      </c>
      <c r="W33" s="36">
        <f>1+T33</f>
        <v>2</v>
      </c>
      <c r="X33" s="36">
        <f>+U33</f>
        <v>0</v>
      </c>
      <c r="Y33" s="50">
        <f t="shared" si="1"/>
        <v>0</v>
      </c>
      <c r="Z33" s="261" t="s">
        <v>296</v>
      </c>
      <c r="AA33" s="861"/>
      <c r="AB33" s="11"/>
      <c r="AC33" s="11"/>
      <c r="AD33" s="12"/>
      <c r="AE33" s="1"/>
    </row>
    <row r="34" spans="3:31" ht="121.5" customHeight="1" thickBot="1" x14ac:dyDescent="0.3">
      <c r="C34" s="886"/>
      <c r="D34" s="889"/>
      <c r="E34" s="870"/>
      <c r="F34" s="854"/>
      <c r="G34" s="832">
        <v>305</v>
      </c>
      <c r="H34" s="835" t="s">
        <v>122</v>
      </c>
      <c r="I34" s="839">
        <v>0.1</v>
      </c>
      <c r="J34" s="280" t="s">
        <v>123</v>
      </c>
      <c r="K34" s="287" t="s">
        <v>124</v>
      </c>
      <c r="L34" s="294" t="s">
        <v>81</v>
      </c>
      <c r="M34" s="296">
        <v>0.3</v>
      </c>
      <c r="N34" s="810" t="s">
        <v>125</v>
      </c>
      <c r="O34" s="813" t="s">
        <v>126</v>
      </c>
      <c r="P34" s="295" t="s">
        <v>127</v>
      </c>
      <c r="Q34" s="33" t="s">
        <v>356</v>
      </c>
      <c r="R34" s="34" t="s">
        <v>128</v>
      </c>
      <c r="S34" s="34" t="s">
        <v>42</v>
      </c>
      <c r="T34" s="36">
        <v>2</v>
      </c>
      <c r="U34" s="36">
        <v>0</v>
      </c>
      <c r="V34" s="50">
        <f t="shared" si="0"/>
        <v>0</v>
      </c>
      <c r="W34" s="36">
        <f>2+T34</f>
        <v>4</v>
      </c>
      <c r="X34" s="36">
        <f>2+U34</f>
        <v>2</v>
      </c>
      <c r="Y34" s="50">
        <f t="shared" si="1"/>
        <v>0.5</v>
      </c>
      <c r="Z34" s="299" t="s">
        <v>296</v>
      </c>
      <c r="AA34" s="861" t="s">
        <v>437</v>
      </c>
      <c r="AB34" s="11"/>
      <c r="AC34" s="11"/>
      <c r="AD34" s="12"/>
      <c r="AE34" s="1"/>
    </row>
    <row r="35" spans="3:31" ht="118.5" customHeight="1" thickBot="1" x14ac:dyDescent="0.3">
      <c r="C35" s="886"/>
      <c r="D35" s="889"/>
      <c r="E35" s="870"/>
      <c r="F35" s="854"/>
      <c r="G35" s="833"/>
      <c r="H35" s="836"/>
      <c r="I35" s="839"/>
      <c r="J35" s="275" t="s">
        <v>129</v>
      </c>
      <c r="K35" s="286" t="s">
        <v>130</v>
      </c>
      <c r="L35" s="293" t="s">
        <v>81</v>
      </c>
      <c r="M35" s="295">
        <v>0.2</v>
      </c>
      <c r="N35" s="811"/>
      <c r="O35" s="814"/>
      <c r="P35" s="44" t="s">
        <v>131</v>
      </c>
      <c r="Q35" s="33" t="s">
        <v>132</v>
      </c>
      <c r="R35" s="34" t="s">
        <v>133</v>
      </c>
      <c r="S35" s="34" t="s">
        <v>42</v>
      </c>
      <c r="T35" s="36">
        <v>9</v>
      </c>
      <c r="U35" s="36">
        <v>0</v>
      </c>
      <c r="V35" s="50">
        <f t="shared" si="0"/>
        <v>0</v>
      </c>
      <c r="W35" s="36">
        <f>6+T35</f>
        <v>15</v>
      </c>
      <c r="X35" s="36">
        <f>3+U35</f>
        <v>3</v>
      </c>
      <c r="Y35" s="50">
        <f t="shared" si="1"/>
        <v>0.2</v>
      </c>
      <c r="Z35" s="261" t="s">
        <v>296</v>
      </c>
      <c r="AA35" s="861"/>
      <c r="AB35" s="11"/>
      <c r="AC35" s="11"/>
      <c r="AD35" s="12"/>
      <c r="AE35" s="1"/>
    </row>
    <row r="36" spans="3:31" ht="110.25" customHeight="1" thickBot="1" x14ac:dyDescent="0.3">
      <c r="C36" s="886"/>
      <c r="D36" s="889"/>
      <c r="E36" s="870"/>
      <c r="F36" s="854"/>
      <c r="G36" s="833"/>
      <c r="H36" s="836"/>
      <c r="I36" s="839"/>
      <c r="J36" s="14" t="s">
        <v>134</v>
      </c>
      <c r="K36" s="47" t="s">
        <v>135</v>
      </c>
      <c r="L36" s="72" t="s">
        <v>81</v>
      </c>
      <c r="M36" s="44">
        <v>0.2</v>
      </c>
      <c r="N36" s="812"/>
      <c r="O36" s="815"/>
      <c r="P36" s="297" t="s">
        <v>136</v>
      </c>
      <c r="Q36" s="291" t="s">
        <v>137</v>
      </c>
      <c r="R36" s="34" t="s">
        <v>137</v>
      </c>
      <c r="S36" s="34" t="s">
        <v>42</v>
      </c>
      <c r="T36" s="36">
        <v>75</v>
      </c>
      <c r="U36" s="36">
        <v>0</v>
      </c>
      <c r="V36" s="50">
        <f t="shared" si="0"/>
        <v>0</v>
      </c>
      <c r="W36" s="36">
        <f>57+T36</f>
        <v>132</v>
      </c>
      <c r="X36" s="36">
        <f>23+U36</f>
        <v>23</v>
      </c>
      <c r="Y36" s="50">
        <f t="shared" si="1"/>
        <v>0.17424242424242425</v>
      </c>
      <c r="Z36" s="300" t="s">
        <v>296</v>
      </c>
      <c r="AA36" s="809"/>
      <c r="AB36" s="11"/>
      <c r="AC36" s="11"/>
      <c r="AD36" s="12"/>
      <c r="AE36" s="1"/>
    </row>
    <row r="37" spans="3:31" ht="180.75" customHeight="1" thickBot="1" x14ac:dyDescent="0.3">
      <c r="C37" s="886"/>
      <c r="D37" s="889"/>
      <c r="E37" s="870"/>
      <c r="F37" s="854"/>
      <c r="G37" s="834"/>
      <c r="H37" s="837"/>
      <c r="I37" s="840"/>
      <c r="J37" s="14" t="s">
        <v>138</v>
      </c>
      <c r="K37" s="286" t="s">
        <v>139</v>
      </c>
      <c r="L37" s="72" t="s">
        <v>81</v>
      </c>
      <c r="M37" s="295">
        <v>0.3</v>
      </c>
      <c r="N37" s="298" t="s">
        <v>140</v>
      </c>
      <c r="O37" s="291" t="s">
        <v>141</v>
      </c>
      <c r="P37" s="297" t="s">
        <v>142</v>
      </c>
      <c r="Q37" s="33" t="s">
        <v>357</v>
      </c>
      <c r="R37" s="34" t="s">
        <v>143</v>
      </c>
      <c r="S37" s="34" t="s">
        <v>42</v>
      </c>
      <c r="T37" s="36">
        <v>1</v>
      </c>
      <c r="U37" s="36">
        <v>0</v>
      </c>
      <c r="V37" s="50">
        <f t="shared" si="0"/>
        <v>0</v>
      </c>
      <c r="W37" s="36">
        <f>+T37</f>
        <v>1</v>
      </c>
      <c r="X37" s="36">
        <f>+U37</f>
        <v>0</v>
      </c>
      <c r="Y37" s="50">
        <f t="shared" si="1"/>
        <v>0</v>
      </c>
      <c r="Z37" s="261" t="s">
        <v>296</v>
      </c>
      <c r="AA37" s="268" t="s">
        <v>437</v>
      </c>
      <c r="AB37" s="11"/>
      <c r="AC37" s="11"/>
      <c r="AD37" s="12"/>
      <c r="AE37" s="1"/>
    </row>
    <row r="38" spans="3:31" ht="62.25" customHeight="1" thickBot="1" x14ac:dyDescent="0.3">
      <c r="C38" s="886"/>
      <c r="D38" s="889"/>
      <c r="E38" s="870"/>
      <c r="F38" s="854"/>
      <c r="G38" s="832">
        <v>306</v>
      </c>
      <c r="H38" s="835" t="s">
        <v>284</v>
      </c>
      <c r="I38" s="838">
        <v>0.05</v>
      </c>
      <c r="J38" s="275" t="s">
        <v>144</v>
      </c>
      <c r="K38" s="286" t="s">
        <v>145</v>
      </c>
      <c r="L38" s="72" t="s">
        <v>81</v>
      </c>
      <c r="M38" s="295">
        <v>0.35</v>
      </c>
      <c r="N38" s="810" t="s">
        <v>146</v>
      </c>
      <c r="O38" s="813" t="s">
        <v>147</v>
      </c>
      <c r="P38" s="847" t="s">
        <v>148</v>
      </c>
      <c r="Q38" s="813" t="s">
        <v>149</v>
      </c>
      <c r="R38" s="858" t="s">
        <v>150</v>
      </c>
      <c r="S38" s="858" t="s">
        <v>42</v>
      </c>
      <c r="T38" s="865">
        <v>1</v>
      </c>
      <c r="U38" s="865">
        <v>0</v>
      </c>
      <c r="V38" s="769">
        <f t="shared" si="0"/>
        <v>0</v>
      </c>
      <c r="W38" s="865">
        <f>+T38</f>
        <v>1</v>
      </c>
      <c r="X38" s="865">
        <f>+U38</f>
        <v>0</v>
      </c>
      <c r="Y38" s="769">
        <f t="shared" si="1"/>
        <v>0</v>
      </c>
      <c r="Z38" s="862" t="s">
        <v>296</v>
      </c>
      <c r="AA38" s="861" t="s">
        <v>437</v>
      </c>
      <c r="AB38" s="11"/>
      <c r="AC38" s="11"/>
      <c r="AD38" s="12"/>
      <c r="AE38" s="1"/>
    </row>
    <row r="39" spans="3:31" ht="64.5" customHeight="1" thickBot="1" x14ac:dyDescent="0.3">
      <c r="C39" s="886"/>
      <c r="D39" s="889"/>
      <c r="E39" s="870"/>
      <c r="F39" s="854"/>
      <c r="G39" s="833"/>
      <c r="H39" s="836"/>
      <c r="I39" s="839"/>
      <c r="J39" s="14" t="s">
        <v>151</v>
      </c>
      <c r="K39" s="47" t="s">
        <v>152</v>
      </c>
      <c r="L39" s="72" t="s">
        <v>81</v>
      </c>
      <c r="M39" s="44">
        <v>0.35</v>
      </c>
      <c r="N39" s="811"/>
      <c r="O39" s="814"/>
      <c r="P39" s="848"/>
      <c r="Q39" s="814"/>
      <c r="R39" s="859"/>
      <c r="S39" s="859"/>
      <c r="T39" s="866"/>
      <c r="U39" s="866"/>
      <c r="V39" s="779"/>
      <c r="W39" s="866"/>
      <c r="X39" s="866"/>
      <c r="Y39" s="779"/>
      <c r="Z39" s="863"/>
      <c r="AA39" s="861"/>
      <c r="AB39" s="11"/>
      <c r="AC39" s="11"/>
      <c r="AD39" s="12"/>
      <c r="AE39" s="1"/>
    </row>
    <row r="40" spans="3:31" ht="98.25" customHeight="1" thickBot="1" x14ac:dyDescent="0.3">
      <c r="C40" s="886"/>
      <c r="D40" s="889"/>
      <c r="E40" s="870"/>
      <c r="F40" s="854"/>
      <c r="G40" s="834"/>
      <c r="H40" s="837"/>
      <c r="I40" s="840"/>
      <c r="J40" s="276" t="s">
        <v>153</v>
      </c>
      <c r="K40" s="288" t="s">
        <v>154</v>
      </c>
      <c r="L40" s="294" t="s">
        <v>81</v>
      </c>
      <c r="M40" s="297">
        <v>0.3</v>
      </c>
      <c r="N40" s="812"/>
      <c r="O40" s="815"/>
      <c r="P40" s="849"/>
      <c r="Q40" s="815"/>
      <c r="R40" s="860"/>
      <c r="S40" s="860"/>
      <c r="T40" s="867"/>
      <c r="U40" s="867"/>
      <c r="V40" s="770"/>
      <c r="W40" s="867"/>
      <c r="X40" s="867"/>
      <c r="Y40" s="770"/>
      <c r="Z40" s="864"/>
      <c r="AA40" s="809"/>
      <c r="AB40" s="11"/>
      <c r="AC40" s="11"/>
      <c r="AD40" s="12"/>
      <c r="AE40" s="1"/>
    </row>
    <row r="41" spans="3:31" ht="140.25" customHeight="1" thickBot="1" x14ac:dyDescent="0.3">
      <c r="C41" s="886"/>
      <c r="D41" s="889"/>
      <c r="E41" s="870"/>
      <c r="F41" s="854"/>
      <c r="G41" s="832">
        <v>307</v>
      </c>
      <c r="H41" s="835" t="s">
        <v>285</v>
      </c>
      <c r="I41" s="838">
        <v>0.1</v>
      </c>
      <c r="J41" s="102" t="s">
        <v>155</v>
      </c>
      <c r="K41" s="103" t="s">
        <v>156</v>
      </c>
      <c r="L41" s="104" t="s">
        <v>81</v>
      </c>
      <c r="M41" s="101">
        <v>0.5</v>
      </c>
      <c r="N41" s="45" t="s">
        <v>160</v>
      </c>
      <c r="O41" s="33" t="s">
        <v>346</v>
      </c>
      <c r="P41" s="45" t="s">
        <v>161</v>
      </c>
      <c r="Q41" s="33" t="s">
        <v>162</v>
      </c>
      <c r="R41" s="34" t="s">
        <v>163</v>
      </c>
      <c r="S41" s="34" t="s">
        <v>164</v>
      </c>
      <c r="T41" s="90">
        <v>0.186</v>
      </c>
      <c r="U41" s="39">
        <v>0</v>
      </c>
      <c r="V41" s="50">
        <f t="shared" si="0"/>
        <v>0</v>
      </c>
      <c r="W41" s="89">
        <f>44%+T41</f>
        <v>0.626</v>
      </c>
      <c r="X41" s="89">
        <f>+U41</f>
        <v>0</v>
      </c>
      <c r="Y41" s="50">
        <f t="shared" si="1"/>
        <v>0</v>
      </c>
      <c r="Z41" s="261" t="s">
        <v>296</v>
      </c>
      <c r="AA41" s="808" t="s">
        <v>446</v>
      </c>
      <c r="AB41" s="11"/>
      <c r="AC41" s="11"/>
      <c r="AD41" s="12"/>
      <c r="AE41" s="1"/>
    </row>
    <row r="42" spans="3:31" ht="114.75" customHeight="1" thickBot="1" x14ac:dyDescent="0.3">
      <c r="C42" s="886"/>
      <c r="D42" s="889"/>
      <c r="E42" s="870"/>
      <c r="F42" s="854"/>
      <c r="G42" s="833"/>
      <c r="H42" s="836"/>
      <c r="I42" s="839"/>
      <c r="J42" s="841" t="s">
        <v>165</v>
      </c>
      <c r="K42" s="835" t="s">
        <v>291</v>
      </c>
      <c r="L42" s="844" t="s">
        <v>81</v>
      </c>
      <c r="M42" s="847">
        <v>0.5</v>
      </c>
      <c r="N42" s="298" t="s">
        <v>157</v>
      </c>
      <c r="O42" s="291" t="s">
        <v>344</v>
      </c>
      <c r="P42" s="44" t="s">
        <v>158</v>
      </c>
      <c r="Q42" s="33" t="s">
        <v>345</v>
      </c>
      <c r="R42" s="34" t="s">
        <v>159</v>
      </c>
      <c r="S42" s="34" t="s">
        <v>42</v>
      </c>
      <c r="T42" s="36">
        <v>0</v>
      </c>
      <c r="U42" s="36">
        <v>0</v>
      </c>
      <c r="V42" s="50" t="e">
        <f t="shared" si="0"/>
        <v>#DIV/0!</v>
      </c>
      <c r="W42" s="40">
        <v>0</v>
      </c>
      <c r="X42" s="40">
        <f>+U42</f>
        <v>0</v>
      </c>
      <c r="Y42" s="50" t="e">
        <f t="shared" si="1"/>
        <v>#DIV/0!</v>
      </c>
      <c r="Z42" s="260" t="s">
        <v>296</v>
      </c>
      <c r="AA42" s="809"/>
      <c r="AB42" s="11"/>
      <c r="AC42" s="11"/>
      <c r="AD42" s="12"/>
      <c r="AE42" s="1"/>
    </row>
    <row r="43" spans="3:31" ht="130.5" customHeight="1" thickBot="1" x14ac:dyDescent="0.3">
      <c r="C43" s="886"/>
      <c r="D43" s="889"/>
      <c r="E43" s="870"/>
      <c r="F43" s="854"/>
      <c r="G43" s="833"/>
      <c r="H43" s="836"/>
      <c r="I43" s="839"/>
      <c r="J43" s="842"/>
      <c r="K43" s="836"/>
      <c r="L43" s="845"/>
      <c r="M43" s="848"/>
      <c r="N43" s="810" t="s">
        <v>166</v>
      </c>
      <c r="O43" s="813" t="s">
        <v>167</v>
      </c>
      <c r="P43" s="44" t="s">
        <v>168</v>
      </c>
      <c r="Q43" s="33" t="s">
        <v>350</v>
      </c>
      <c r="R43" s="34" t="s">
        <v>169</v>
      </c>
      <c r="S43" s="34" t="s">
        <v>42</v>
      </c>
      <c r="T43" s="36">
        <v>1</v>
      </c>
      <c r="U43" s="36">
        <v>0</v>
      </c>
      <c r="V43" s="50">
        <f t="shared" si="0"/>
        <v>0</v>
      </c>
      <c r="W43" s="36">
        <f>+T43</f>
        <v>1</v>
      </c>
      <c r="X43" s="36">
        <f>+U43</f>
        <v>0</v>
      </c>
      <c r="Y43" s="50">
        <f t="shared" si="1"/>
        <v>0</v>
      </c>
      <c r="Z43" s="261" t="s">
        <v>296</v>
      </c>
      <c r="AA43" s="270" t="s">
        <v>437</v>
      </c>
      <c r="AB43" s="11"/>
      <c r="AC43" s="11"/>
      <c r="AD43" s="12"/>
      <c r="AE43" s="1"/>
    </row>
    <row r="44" spans="3:31" ht="222" customHeight="1" thickBot="1" x14ac:dyDescent="0.3">
      <c r="C44" s="886"/>
      <c r="D44" s="889"/>
      <c r="E44" s="277"/>
      <c r="F44" s="278"/>
      <c r="G44" s="834"/>
      <c r="H44" s="837"/>
      <c r="I44" s="840"/>
      <c r="J44" s="843"/>
      <c r="K44" s="837"/>
      <c r="L44" s="846"/>
      <c r="M44" s="849"/>
      <c r="N44" s="812"/>
      <c r="O44" s="815"/>
      <c r="P44" s="44" t="s">
        <v>170</v>
      </c>
      <c r="Q44" s="33" t="s">
        <v>171</v>
      </c>
      <c r="R44" s="34" t="s">
        <v>169</v>
      </c>
      <c r="S44" s="34" t="s">
        <v>42</v>
      </c>
      <c r="T44" s="36">
        <v>0</v>
      </c>
      <c r="U44" s="36">
        <v>0</v>
      </c>
      <c r="V44" s="50" t="e">
        <f t="shared" si="0"/>
        <v>#DIV/0!</v>
      </c>
      <c r="W44" s="36">
        <v>1</v>
      </c>
      <c r="X44" s="36">
        <f>1+U44</f>
        <v>1</v>
      </c>
      <c r="Y44" s="50">
        <f t="shared" si="1"/>
        <v>1</v>
      </c>
      <c r="Z44" s="300" t="s">
        <v>453</v>
      </c>
      <c r="AA44" s="283" t="s">
        <v>437</v>
      </c>
      <c r="AB44" s="11"/>
      <c r="AC44" s="11"/>
      <c r="AD44" s="12"/>
      <c r="AE44" s="1"/>
    </row>
    <row r="45" spans="3:31" ht="349.5" customHeight="1" thickBot="1" x14ac:dyDescent="0.3">
      <c r="C45" s="886"/>
      <c r="D45" s="889"/>
      <c r="E45" s="277"/>
      <c r="F45" s="278"/>
      <c r="G45" s="832">
        <v>308</v>
      </c>
      <c r="H45" s="835" t="s">
        <v>172</v>
      </c>
      <c r="I45" s="838">
        <v>0.1</v>
      </c>
      <c r="J45" s="275" t="s">
        <v>173</v>
      </c>
      <c r="K45" s="286" t="s">
        <v>174</v>
      </c>
      <c r="L45" s="293" t="s">
        <v>81</v>
      </c>
      <c r="M45" s="295">
        <v>0.5</v>
      </c>
      <c r="N45" s="810" t="s">
        <v>175</v>
      </c>
      <c r="O45" s="813" t="s">
        <v>312</v>
      </c>
      <c r="P45" s="44" t="s">
        <v>180</v>
      </c>
      <c r="Q45" s="33" t="s">
        <v>316</v>
      </c>
      <c r="R45" s="34" t="s">
        <v>314</v>
      </c>
      <c r="S45" s="34" t="s">
        <v>164</v>
      </c>
      <c r="T45" s="88">
        <v>0.44</v>
      </c>
      <c r="U45" s="88">
        <v>3.5000000000000003E-2</v>
      </c>
      <c r="V45" s="50">
        <f t="shared" si="0"/>
        <v>7.9545454545454558E-2</v>
      </c>
      <c r="W45" s="90">
        <f>10.5%+T45</f>
        <v>0.54500000000000004</v>
      </c>
      <c r="X45" s="90">
        <f>10.5%+U45</f>
        <v>0.14000000000000001</v>
      </c>
      <c r="Y45" s="50">
        <f t="shared" si="1"/>
        <v>0.25688073394495414</v>
      </c>
      <c r="Z45" s="253" t="s">
        <v>445</v>
      </c>
      <c r="AA45" s="249" t="s">
        <v>292</v>
      </c>
      <c r="AB45" s="11"/>
      <c r="AC45" s="11"/>
      <c r="AD45" s="13"/>
      <c r="AE45" s="1"/>
    </row>
    <row r="46" spans="3:31" ht="145.5" customHeight="1" thickBot="1" x14ac:dyDescent="0.3">
      <c r="C46" s="886"/>
      <c r="D46" s="889"/>
      <c r="E46" s="277"/>
      <c r="F46" s="278"/>
      <c r="G46" s="833"/>
      <c r="H46" s="836"/>
      <c r="I46" s="839"/>
      <c r="J46" s="841" t="s">
        <v>177</v>
      </c>
      <c r="K46" s="835" t="s">
        <v>178</v>
      </c>
      <c r="L46" s="844" t="s">
        <v>81</v>
      </c>
      <c r="M46" s="847">
        <v>0.5</v>
      </c>
      <c r="N46" s="811"/>
      <c r="O46" s="814"/>
      <c r="P46" s="44" t="s">
        <v>179</v>
      </c>
      <c r="Q46" s="33" t="s">
        <v>313</v>
      </c>
      <c r="R46" s="34" t="s">
        <v>314</v>
      </c>
      <c r="S46" s="34" t="s">
        <v>164</v>
      </c>
      <c r="T46" s="89">
        <v>1</v>
      </c>
      <c r="U46" s="89">
        <v>1</v>
      </c>
      <c r="V46" s="50">
        <f t="shared" si="0"/>
        <v>1</v>
      </c>
      <c r="W46" s="39">
        <f>+T46</f>
        <v>1</v>
      </c>
      <c r="X46" s="39">
        <f>+U46</f>
        <v>1</v>
      </c>
      <c r="Y46" s="50">
        <f t="shared" si="1"/>
        <v>1</v>
      </c>
      <c r="Z46" s="830" t="s">
        <v>444</v>
      </c>
      <c r="AA46" s="249" t="s">
        <v>292</v>
      </c>
      <c r="AB46" s="11"/>
      <c r="AC46" s="11"/>
      <c r="AD46" s="13"/>
      <c r="AE46" s="1"/>
    </row>
    <row r="47" spans="3:31" ht="147.75" customHeight="1" thickBot="1" x14ac:dyDescent="0.3">
      <c r="C47" s="886"/>
      <c r="D47" s="889"/>
      <c r="E47" s="277"/>
      <c r="F47" s="278"/>
      <c r="G47" s="833"/>
      <c r="H47" s="836"/>
      <c r="I47" s="839"/>
      <c r="J47" s="842"/>
      <c r="K47" s="836"/>
      <c r="L47" s="845"/>
      <c r="M47" s="848"/>
      <c r="N47" s="811"/>
      <c r="O47" s="814"/>
      <c r="P47" s="44" t="s">
        <v>176</v>
      </c>
      <c r="Q47" s="33" t="s">
        <v>315</v>
      </c>
      <c r="R47" s="34" t="s">
        <v>314</v>
      </c>
      <c r="S47" s="34" t="s">
        <v>164</v>
      </c>
      <c r="T47" s="34">
        <v>1</v>
      </c>
      <c r="U47" s="34">
        <v>1</v>
      </c>
      <c r="V47" s="50">
        <f t="shared" si="0"/>
        <v>1</v>
      </c>
      <c r="W47" s="34">
        <f>+T47</f>
        <v>1</v>
      </c>
      <c r="X47" s="34">
        <f>+U47</f>
        <v>1</v>
      </c>
      <c r="Y47" s="50">
        <f t="shared" si="1"/>
        <v>1</v>
      </c>
      <c r="Z47" s="831"/>
      <c r="AA47" s="262" t="s">
        <v>294</v>
      </c>
      <c r="AB47" s="11"/>
      <c r="AC47" s="11"/>
      <c r="AD47" s="12"/>
      <c r="AE47" s="1"/>
    </row>
    <row r="48" spans="3:31" ht="155.25" customHeight="1" thickBot="1" x14ac:dyDescent="0.3">
      <c r="C48" s="886"/>
      <c r="D48" s="889"/>
      <c r="E48" s="277"/>
      <c r="F48" s="278"/>
      <c r="G48" s="833"/>
      <c r="H48" s="836"/>
      <c r="I48" s="839"/>
      <c r="J48" s="842"/>
      <c r="K48" s="836"/>
      <c r="L48" s="845"/>
      <c r="M48" s="848"/>
      <c r="N48" s="811"/>
      <c r="O48" s="814"/>
      <c r="P48" s="44" t="s">
        <v>183</v>
      </c>
      <c r="Q48" s="291" t="s">
        <v>181</v>
      </c>
      <c r="R48" s="292" t="s">
        <v>317</v>
      </c>
      <c r="S48" s="292" t="s">
        <v>182</v>
      </c>
      <c r="T48" s="292">
        <v>1</v>
      </c>
      <c r="U48" s="292">
        <v>1</v>
      </c>
      <c r="V48" s="50">
        <f>+U48/T48</f>
        <v>1</v>
      </c>
      <c r="W48" s="292">
        <v>1</v>
      </c>
      <c r="X48" s="292">
        <f>+('Matriz OE seguimiento TI'!U48+U48)/2</f>
        <v>1</v>
      </c>
      <c r="Y48" s="50">
        <f>+X48/W48</f>
        <v>1</v>
      </c>
      <c r="Z48" s="285" t="s">
        <v>381</v>
      </c>
      <c r="AA48" s="262" t="s">
        <v>366</v>
      </c>
      <c r="AB48" s="11"/>
      <c r="AC48" s="11"/>
      <c r="AD48" s="12"/>
      <c r="AE48" s="1"/>
    </row>
    <row r="49" spans="3:31" ht="155.25" customHeight="1" thickBot="1" x14ac:dyDescent="0.3">
      <c r="C49" s="886"/>
      <c r="D49" s="889"/>
      <c r="E49" s="277"/>
      <c r="F49" s="278"/>
      <c r="G49" s="833"/>
      <c r="H49" s="836"/>
      <c r="I49" s="839"/>
      <c r="J49" s="842"/>
      <c r="K49" s="836"/>
      <c r="L49" s="845"/>
      <c r="M49" s="848"/>
      <c r="N49" s="812"/>
      <c r="O49" s="815"/>
      <c r="P49" s="297" t="s">
        <v>318</v>
      </c>
      <c r="Q49" s="291" t="s">
        <v>184</v>
      </c>
      <c r="R49" s="292" t="s">
        <v>319</v>
      </c>
      <c r="S49" s="292" t="s">
        <v>182</v>
      </c>
      <c r="T49" s="292">
        <v>1</v>
      </c>
      <c r="U49" s="292">
        <v>1</v>
      </c>
      <c r="V49" s="50">
        <f>+U49/T49</f>
        <v>1</v>
      </c>
      <c r="W49" s="292">
        <v>1</v>
      </c>
      <c r="X49" s="292">
        <f>+('Matriz OE seguimiento TI'!U49+U49)/2</f>
        <v>1</v>
      </c>
      <c r="Y49" s="50">
        <f>+X49/W49</f>
        <v>1</v>
      </c>
      <c r="Z49" s="285" t="s">
        <v>382</v>
      </c>
      <c r="AA49" s="262" t="s">
        <v>292</v>
      </c>
      <c r="AB49" s="11"/>
      <c r="AC49" s="11"/>
      <c r="AD49" s="12"/>
      <c r="AE49" s="1"/>
    </row>
    <row r="50" spans="3:31" ht="156.75" customHeight="1" thickBot="1" x14ac:dyDescent="0.3">
      <c r="C50" s="886"/>
      <c r="D50" s="889"/>
      <c r="E50" s="277"/>
      <c r="F50" s="278"/>
      <c r="G50" s="833"/>
      <c r="H50" s="836"/>
      <c r="I50" s="839"/>
      <c r="J50" s="842"/>
      <c r="K50" s="836"/>
      <c r="L50" s="845"/>
      <c r="M50" s="848"/>
      <c r="N50" s="298" t="s">
        <v>185</v>
      </c>
      <c r="O50" s="291" t="s">
        <v>186</v>
      </c>
      <c r="P50" s="297" t="s">
        <v>187</v>
      </c>
      <c r="Q50" s="291" t="s">
        <v>320</v>
      </c>
      <c r="R50" s="292" t="s">
        <v>314</v>
      </c>
      <c r="S50" s="292" t="s">
        <v>164</v>
      </c>
      <c r="T50" s="306">
        <v>0.5</v>
      </c>
      <c r="U50" s="306">
        <v>0.5</v>
      </c>
      <c r="V50" s="50">
        <f>+U50/T50</f>
        <v>1</v>
      </c>
      <c r="W50" s="106">
        <f>50%+T50</f>
        <v>1</v>
      </c>
      <c r="X50" s="106">
        <f>50%+U50</f>
        <v>1</v>
      </c>
      <c r="Y50" s="50">
        <f t="shared" si="1"/>
        <v>1</v>
      </c>
      <c r="Z50" s="282" t="s">
        <v>443</v>
      </c>
      <c r="AA50" s="262" t="s">
        <v>292</v>
      </c>
      <c r="AB50" s="11"/>
      <c r="AC50" s="11"/>
      <c r="AD50" s="12"/>
      <c r="AE50" s="1"/>
    </row>
    <row r="51" spans="3:31" ht="396" customHeight="1" thickBot="1" x14ac:dyDescent="0.3">
      <c r="C51" s="886"/>
      <c r="D51" s="889"/>
      <c r="E51" s="277"/>
      <c r="F51" s="278"/>
      <c r="G51" s="833"/>
      <c r="H51" s="836"/>
      <c r="I51" s="839"/>
      <c r="J51" s="842"/>
      <c r="K51" s="836"/>
      <c r="L51" s="845"/>
      <c r="M51" s="848"/>
      <c r="N51" s="45" t="s">
        <v>188</v>
      </c>
      <c r="O51" s="33" t="s">
        <v>321</v>
      </c>
      <c r="P51" s="44" t="s">
        <v>189</v>
      </c>
      <c r="Q51" s="33" t="s">
        <v>378</v>
      </c>
      <c r="R51" s="34" t="s">
        <v>314</v>
      </c>
      <c r="S51" s="34" t="s">
        <v>164</v>
      </c>
      <c r="T51" s="39">
        <v>1</v>
      </c>
      <c r="U51" s="39">
        <v>0</v>
      </c>
      <c r="V51" s="50">
        <f t="shared" si="0"/>
        <v>0</v>
      </c>
      <c r="W51" s="89">
        <f>+T51</f>
        <v>1</v>
      </c>
      <c r="X51" s="89">
        <f>+U51</f>
        <v>0</v>
      </c>
      <c r="Y51" s="50">
        <f t="shared" si="1"/>
        <v>0</v>
      </c>
      <c r="Z51" s="248" t="s">
        <v>296</v>
      </c>
      <c r="AA51" s="254" t="s">
        <v>440</v>
      </c>
      <c r="AB51" s="11"/>
      <c r="AC51" s="11"/>
      <c r="AD51" s="12"/>
      <c r="AE51" s="1"/>
    </row>
    <row r="52" spans="3:31" ht="289.5" customHeight="1" thickBot="1" x14ac:dyDescent="0.3">
      <c r="C52" s="886"/>
      <c r="D52" s="889"/>
      <c r="E52" s="277"/>
      <c r="F52" s="278"/>
      <c r="G52" s="834"/>
      <c r="H52" s="837"/>
      <c r="I52" s="840"/>
      <c r="J52" s="843"/>
      <c r="K52" s="837"/>
      <c r="L52" s="846"/>
      <c r="M52" s="849"/>
      <c r="N52" s="45" t="s">
        <v>190</v>
      </c>
      <c r="O52" s="33" t="s">
        <v>322</v>
      </c>
      <c r="P52" s="44" t="s">
        <v>191</v>
      </c>
      <c r="Q52" s="33" t="s">
        <v>442</v>
      </c>
      <c r="R52" s="34" t="s">
        <v>314</v>
      </c>
      <c r="S52" s="34" t="s">
        <v>164</v>
      </c>
      <c r="T52" s="79">
        <v>0.44</v>
      </c>
      <c r="U52" s="34">
        <v>0.44</v>
      </c>
      <c r="V52" s="50">
        <f t="shared" si="0"/>
        <v>1</v>
      </c>
      <c r="W52" s="79">
        <f>5%+T52</f>
        <v>0.49</v>
      </c>
      <c r="X52" s="79">
        <f>5%+U52</f>
        <v>0.49</v>
      </c>
      <c r="Y52" s="50">
        <f t="shared" si="1"/>
        <v>1</v>
      </c>
      <c r="Z52" s="285" t="s">
        <v>441</v>
      </c>
      <c r="AA52" s="262" t="s">
        <v>294</v>
      </c>
      <c r="AB52" s="11"/>
      <c r="AC52" s="11"/>
      <c r="AD52" s="12"/>
      <c r="AE52" s="1"/>
    </row>
    <row r="53" spans="3:31" ht="189.75" customHeight="1" thickBot="1" x14ac:dyDescent="0.3">
      <c r="C53" s="886"/>
      <c r="D53" s="889"/>
      <c r="E53" s="277"/>
      <c r="F53" s="278"/>
      <c r="G53" s="832">
        <v>309</v>
      </c>
      <c r="H53" s="835" t="s">
        <v>192</v>
      </c>
      <c r="I53" s="838">
        <v>0.05</v>
      </c>
      <c r="J53" s="841" t="s">
        <v>193</v>
      </c>
      <c r="K53" s="835" t="s">
        <v>194</v>
      </c>
      <c r="L53" s="844" t="s">
        <v>81</v>
      </c>
      <c r="M53" s="847">
        <v>1</v>
      </c>
      <c r="N53" s="45" t="s">
        <v>195</v>
      </c>
      <c r="O53" s="33" t="s">
        <v>338</v>
      </c>
      <c r="P53" s="44" t="s">
        <v>196</v>
      </c>
      <c r="Q53" s="33" t="s">
        <v>197</v>
      </c>
      <c r="R53" s="34" t="s">
        <v>339</v>
      </c>
      <c r="S53" s="34" t="s">
        <v>42</v>
      </c>
      <c r="T53" s="36">
        <v>1</v>
      </c>
      <c r="U53" s="36">
        <v>0</v>
      </c>
      <c r="V53" s="50">
        <f>+U53/T53</f>
        <v>0</v>
      </c>
      <c r="W53" s="36">
        <f>+T53</f>
        <v>1</v>
      </c>
      <c r="X53" s="36">
        <f>+U53</f>
        <v>0</v>
      </c>
      <c r="Y53" s="50">
        <f t="shared" si="1"/>
        <v>0</v>
      </c>
      <c r="Z53" s="255" t="s">
        <v>430</v>
      </c>
      <c r="AA53" s="249" t="s">
        <v>292</v>
      </c>
      <c r="AB53" s="20"/>
      <c r="AC53" s="20"/>
      <c r="AD53" s="21"/>
      <c r="AE53" s="1"/>
    </row>
    <row r="54" spans="3:31" ht="145.5" customHeight="1" thickBot="1" x14ac:dyDescent="0.3">
      <c r="C54" s="886"/>
      <c r="D54" s="889"/>
      <c r="E54" s="277"/>
      <c r="F54" s="278"/>
      <c r="G54" s="833"/>
      <c r="H54" s="836"/>
      <c r="I54" s="839"/>
      <c r="J54" s="842"/>
      <c r="K54" s="836"/>
      <c r="L54" s="845"/>
      <c r="M54" s="848"/>
      <c r="N54" s="45" t="s">
        <v>198</v>
      </c>
      <c r="O54" s="33" t="s">
        <v>199</v>
      </c>
      <c r="P54" s="44" t="s">
        <v>200</v>
      </c>
      <c r="Q54" s="33" t="s">
        <v>201</v>
      </c>
      <c r="R54" s="34" t="s">
        <v>202</v>
      </c>
      <c r="S54" s="34" t="s">
        <v>42</v>
      </c>
      <c r="T54" s="36">
        <v>0</v>
      </c>
      <c r="U54" s="36">
        <v>0</v>
      </c>
      <c r="V54" s="50" t="e">
        <f t="shared" si="0"/>
        <v>#DIV/0!</v>
      </c>
      <c r="W54" s="36">
        <v>1</v>
      </c>
      <c r="X54" s="36">
        <f>+U54</f>
        <v>0</v>
      </c>
      <c r="Y54" s="50">
        <f t="shared" si="1"/>
        <v>0</v>
      </c>
      <c r="Z54" s="261" t="s">
        <v>438</v>
      </c>
      <c r="AA54" s="808" t="s">
        <v>437</v>
      </c>
      <c r="AB54" s="20"/>
      <c r="AC54" s="20"/>
      <c r="AD54" s="21"/>
      <c r="AE54" s="1"/>
    </row>
    <row r="55" spans="3:31" ht="162" customHeight="1" thickBot="1" x14ac:dyDescent="0.3">
      <c r="C55" s="886"/>
      <c r="D55" s="889"/>
      <c r="E55" s="277"/>
      <c r="F55" s="278"/>
      <c r="G55" s="833"/>
      <c r="H55" s="836"/>
      <c r="I55" s="839"/>
      <c r="J55" s="842"/>
      <c r="K55" s="836"/>
      <c r="L55" s="845"/>
      <c r="M55" s="848"/>
      <c r="N55" s="45" t="s">
        <v>203</v>
      </c>
      <c r="O55" s="33" t="s">
        <v>204</v>
      </c>
      <c r="P55" s="44" t="s">
        <v>205</v>
      </c>
      <c r="Q55" s="33" t="s">
        <v>206</v>
      </c>
      <c r="R55" s="34" t="s">
        <v>207</v>
      </c>
      <c r="S55" s="34" t="s">
        <v>42</v>
      </c>
      <c r="T55" s="36">
        <v>3</v>
      </c>
      <c r="U55" s="36">
        <v>0</v>
      </c>
      <c r="V55" s="50">
        <f t="shared" si="0"/>
        <v>0</v>
      </c>
      <c r="W55" s="36">
        <f>3+T55</f>
        <v>6</v>
      </c>
      <c r="X55" s="36">
        <f>+U55</f>
        <v>0</v>
      </c>
      <c r="Y55" s="50">
        <f t="shared" si="1"/>
        <v>0</v>
      </c>
      <c r="Z55" s="261" t="s">
        <v>454</v>
      </c>
      <c r="AA55" s="809"/>
      <c r="AB55" s="20"/>
      <c r="AC55" s="20"/>
      <c r="AD55" s="21"/>
      <c r="AE55" s="1"/>
    </row>
    <row r="56" spans="3:31" ht="195" customHeight="1" thickBot="1" x14ac:dyDescent="0.3">
      <c r="C56" s="886"/>
      <c r="D56" s="889"/>
      <c r="E56" s="277"/>
      <c r="F56" s="278"/>
      <c r="G56" s="833"/>
      <c r="H56" s="836"/>
      <c r="I56" s="839"/>
      <c r="J56" s="842"/>
      <c r="K56" s="836"/>
      <c r="L56" s="845"/>
      <c r="M56" s="848"/>
      <c r="N56" s="45" t="s">
        <v>208</v>
      </c>
      <c r="O56" s="33" t="s">
        <v>209</v>
      </c>
      <c r="P56" s="44" t="s">
        <v>210</v>
      </c>
      <c r="Q56" s="33" t="s">
        <v>194</v>
      </c>
      <c r="R56" s="34" t="s">
        <v>194</v>
      </c>
      <c r="S56" s="34" t="s">
        <v>42</v>
      </c>
      <c r="T56" s="36">
        <v>1</v>
      </c>
      <c r="U56" s="36">
        <v>0</v>
      </c>
      <c r="V56" s="50">
        <f t="shared" si="0"/>
        <v>0</v>
      </c>
      <c r="W56" s="36">
        <f>1+T56</f>
        <v>2</v>
      </c>
      <c r="X56" s="36">
        <f>1+U56</f>
        <v>1</v>
      </c>
      <c r="Y56" s="50">
        <f t="shared" si="1"/>
        <v>0.5</v>
      </c>
      <c r="Z56" s="261" t="s">
        <v>455</v>
      </c>
      <c r="AA56" s="283" t="s">
        <v>437</v>
      </c>
      <c r="AB56" s="20"/>
      <c r="AC56" s="20"/>
      <c r="AD56" s="21"/>
      <c r="AE56" s="1"/>
    </row>
    <row r="57" spans="3:31" ht="100.5" customHeight="1" thickBot="1" x14ac:dyDescent="0.3">
      <c r="C57" s="886"/>
      <c r="D57" s="889"/>
      <c r="E57" s="277"/>
      <c r="F57" s="278"/>
      <c r="G57" s="833"/>
      <c r="H57" s="836"/>
      <c r="I57" s="839"/>
      <c r="J57" s="842"/>
      <c r="K57" s="836"/>
      <c r="L57" s="845"/>
      <c r="M57" s="848"/>
      <c r="N57" s="810" t="s">
        <v>211</v>
      </c>
      <c r="O57" s="813" t="s">
        <v>212</v>
      </c>
      <c r="P57" s="44" t="s">
        <v>213</v>
      </c>
      <c r="Q57" s="33" t="s">
        <v>214</v>
      </c>
      <c r="R57" s="34" t="s">
        <v>215</v>
      </c>
      <c r="S57" s="34" t="s">
        <v>42</v>
      </c>
      <c r="T57" s="36">
        <v>5</v>
      </c>
      <c r="U57" s="36">
        <v>0</v>
      </c>
      <c r="V57" s="50">
        <f>+U57/T57</f>
        <v>0</v>
      </c>
      <c r="W57" s="36">
        <f>5+T57</f>
        <v>10</v>
      </c>
      <c r="X57" s="36">
        <f>+U57</f>
        <v>0</v>
      </c>
      <c r="Y57" s="50">
        <f t="shared" si="1"/>
        <v>0</v>
      </c>
      <c r="Z57" s="248" t="s">
        <v>416</v>
      </c>
      <c r="AA57" s="249" t="s">
        <v>293</v>
      </c>
      <c r="AB57" s="20"/>
      <c r="AC57" s="20"/>
      <c r="AD57" s="21"/>
      <c r="AE57" s="1"/>
    </row>
    <row r="58" spans="3:31" ht="210.75" thickBot="1" x14ac:dyDescent="0.3">
      <c r="C58" s="886"/>
      <c r="D58" s="889"/>
      <c r="E58" s="277"/>
      <c r="F58" s="278"/>
      <c r="G58" s="833"/>
      <c r="H58" s="836"/>
      <c r="I58" s="839"/>
      <c r="J58" s="842"/>
      <c r="K58" s="836"/>
      <c r="L58" s="845"/>
      <c r="M58" s="848"/>
      <c r="N58" s="811"/>
      <c r="O58" s="814"/>
      <c r="P58" s="44" t="s">
        <v>216</v>
      </c>
      <c r="Q58" s="33" t="s">
        <v>217</v>
      </c>
      <c r="R58" s="34" t="s">
        <v>218</v>
      </c>
      <c r="S58" s="34" t="s">
        <v>219</v>
      </c>
      <c r="T58" s="36">
        <v>8</v>
      </c>
      <c r="U58" s="36">
        <v>8</v>
      </c>
      <c r="V58" s="50">
        <f>+T58/U58</f>
        <v>1</v>
      </c>
      <c r="W58" s="36">
        <v>8</v>
      </c>
      <c r="X58" s="250">
        <f>(7+U58)/2</f>
        <v>7.5</v>
      </c>
      <c r="Y58" s="50">
        <f>+W58/X58</f>
        <v>1.0666666666666667</v>
      </c>
      <c r="Z58" s="248" t="s">
        <v>417</v>
      </c>
      <c r="AA58" s="251" t="s">
        <v>418</v>
      </c>
      <c r="AB58" s="20"/>
      <c r="AC58" s="20"/>
      <c r="AD58" s="21"/>
      <c r="AE58" s="1"/>
    </row>
    <row r="59" spans="3:31" ht="179.25" customHeight="1" thickBot="1" x14ac:dyDescent="0.3">
      <c r="C59" s="886"/>
      <c r="D59" s="889"/>
      <c r="E59" s="277"/>
      <c r="F59" s="278"/>
      <c r="G59" s="833"/>
      <c r="H59" s="836"/>
      <c r="I59" s="839"/>
      <c r="J59" s="842"/>
      <c r="K59" s="836"/>
      <c r="L59" s="845"/>
      <c r="M59" s="848"/>
      <c r="N59" s="812"/>
      <c r="O59" s="815"/>
      <c r="P59" s="44" t="s">
        <v>220</v>
      </c>
      <c r="Q59" s="33" t="s">
        <v>221</v>
      </c>
      <c r="R59" s="34" t="s">
        <v>222</v>
      </c>
      <c r="S59" s="34" t="s">
        <v>343</v>
      </c>
      <c r="T59" s="34">
        <v>1</v>
      </c>
      <c r="U59" s="34">
        <v>0.96</v>
      </c>
      <c r="V59" s="50">
        <f t="shared" si="0"/>
        <v>0.96</v>
      </c>
      <c r="W59" s="34">
        <v>1</v>
      </c>
      <c r="X59" s="90">
        <f>(95%+U59)/2</f>
        <v>0.95499999999999996</v>
      </c>
      <c r="Y59" s="50">
        <f t="shared" si="1"/>
        <v>0.95499999999999996</v>
      </c>
      <c r="Z59" s="252" t="s">
        <v>419</v>
      </c>
      <c r="AA59" s="253" t="s">
        <v>420</v>
      </c>
      <c r="AB59" s="20"/>
      <c r="AC59" s="20"/>
      <c r="AD59" s="21"/>
      <c r="AE59" s="1"/>
    </row>
    <row r="60" spans="3:31" ht="169.5" customHeight="1" thickBot="1" x14ac:dyDescent="0.3">
      <c r="C60" s="886"/>
      <c r="D60" s="889"/>
      <c r="E60" s="277"/>
      <c r="F60" s="278"/>
      <c r="G60" s="833"/>
      <c r="H60" s="836"/>
      <c r="I60" s="839"/>
      <c r="J60" s="842"/>
      <c r="K60" s="836"/>
      <c r="L60" s="845"/>
      <c r="M60" s="848"/>
      <c r="N60" s="45" t="s">
        <v>224</v>
      </c>
      <c r="O60" s="33" t="s">
        <v>225</v>
      </c>
      <c r="P60" s="44" t="s">
        <v>226</v>
      </c>
      <c r="Q60" s="33" t="s">
        <v>227</v>
      </c>
      <c r="R60" s="34" t="s">
        <v>228</v>
      </c>
      <c r="S60" s="34" t="s">
        <v>229</v>
      </c>
      <c r="T60" s="34">
        <v>0.9</v>
      </c>
      <c r="U60" s="34">
        <v>0.8</v>
      </c>
      <c r="V60" s="50">
        <f t="shared" si="0"/>
        <v>0.88888888888888895</v>
      </c>
      <c r="W60" s="34">
        <f>+T60</f>
        <v>0.9</v>
      </c>
      <c r="X60" s="39">
        <f>+U60</f>
        <v>0.8</v>
      </c>
      <c r="Y60" s="50">
        <f t="shared" si="1"/>
        <v>0.88888888888888895</v>
      </c>
      <c r="Z60" s="252" t="s">
        <v>422</v>
      </c>
      <c r="AA60" s="254" t="s">
        <v>421</v>
      </c>
      <c r="AB60" s="20"/>
      <c r="AC60" s="20"/>
      <c r="AD60" s="21"/>
      <c r="AE60" s="1"/>
    </row>
    <row r="61" spans="3:31" ht="168.75" customHeight="1" thickBot="1" x14ac:dyDescent="0.3">
      <c r="C61" s="886"/>
      <c r="D61" s="889"/>
      <c r="E61" s="277"/>
      <c r="F61" s="278"/>
      <c r="G61" s="833"/>
      <c r="H61" s="836"/>
      <c r="I61" s="839"/>
      <c r="J61" s="842"/>
      <c r="K61" s="836"/>
      <c r="L61" s="845"/>
      <c r="M61" s="848"/>
      <c r="N61" s="45" t="s">
        <v>230</v>
      </c>
      <c r="O61" s="33" t="s">
        <v>232</v>
      </c>
      <c r="P61" s="44" t="s">
        <v>231</v>
      </c>
      <c r="Q61" s="33" t="s">
        <v>233</v>
      </c>
      <c r="R61" s="34" t="s">
        <v>234</v>
      </c>
      <c r="S61" s="34" t="s">
        <v>235</v>
      </c>
      <c r="T61" s="39">
        <v>0.8</v>
      </c>
      <c r="U61" s="39">
        <v>0</v>
      </c>
      <c r="V61" s="50">
        <f t="shared" si="0"/>
        <v>0</v>
      </c>
      <c r="W61" s="39">
        <f>+T61</f>
        <v>0.8</v>
      </c>
      <c r="X61" s="39">
        <f>+U61</f>
        <v>0</v>
      </c>
      <c r="Y61" s="50">
        <f t="shared" si="1"/>
        <v>0</v>
      </c>
      <c r="Z61" s="263" t="s">
        <v>297</v>
      </c>
      <c r="AA61" s="284" t="s">
        <v>446</v>
      </c>
      <c r="AB61" s="20"/>
      <c r="AC61" s="20"/>
      <c r="AD61" s="21"/>
      <c r="AE61" s="1"/>
    </row>
    <row r="62" spans="3:31" ht="192" customHeight="1" thickBot="1" x14ac:dyDescent="0.3">
      <c r="C62" s="886"/>
      <c r="D62" s="889"/>
      <c r="E62" s="277"/>
      <c r="F62" s="278"/>
      <c r="G62" s="833"/>
      <c r="H62" s="836"/>
      <c r="I62" s="839"/>
      <c r="J62" s="842"/>
      <c r="K62" s="836"/>
      <c r="L62" s="845"/>
      <c r="M62" s="848"/>
      <c r="N62" s="810" t="s">
        <v>236</v>
      </c>
      <c r="O62" s="813" t="s">
        <v>237</v>
      </c>
      <c r="P62" s="44" t="s">
        <v>238</v>
      </c>
      <c r="Q62" s="33" t="s">
        <v>239</v>
      </c>
      <c r="R62" s="34" t="s">
        <v>240</v>
      </c>
      <c r="S62" s="34" t="s">
        <v>42</v>
      </c>
      <c r="T62" s="36">
        <v>850</v>
      </c>
      <c r="U62" s="36">
        <v>735</v>
      </c>
      <c r="V62" s="50">
        <f t="shared" si="0"/>
        <v>0.86470588235294121</v>
      </c>
      <c r="W62" s="36">
        <f>700+T62</f>
        <v>1550</v>
      </c>
      <c r="X62" s="40">
        <f>851+U62</f>
        <v>1586</v>
      </c>
      <c r="Y62" s="50">
        <f t="shared" si="1"/>
        <v>1.0232258064516129</v>
      </c>
      <c r="Z62" s="264" t="s">
        <v>447</v>
      </c>
      <c r="AA62" s="265" t="s">
        <v>294</v>
      </c>
      <c r="AB62" s="20"/>
      <c r="AC62" s="20"/>
      <c r="AD62" s="21"/>
      <c r="AE62" s="1"/>
    </row>
    <row r="63" spans="3:31" ht="211.5" customHeight="1" thickBot="1" x14ac:dyDescent="0.3">
      <c r="C63" s="886"/>
      <c r="D63" s="889"/>
      <c r="E63" s="277"/>
      <c r="F63" s="278"/>
      <c r="G63" s="833"/>
      <c r="H63" s="836"/>
      <c r="I63" s="839"/>
      <c r="J63" s="842"/>
      <c r="K63" s="836"/>
      <c r="L63" s="845"/>
      <c r="M63" s="848"/>
      <c r="N63" s="812"/>
      <c r="O63" s="815"/>
      <c r="P63" s="44" t="s">
        <v>241</v>
      </c>
      <c r="Q63" s="33" t="s">
        <v>332</v>
      </c>
      <c r="R63" s="34" t="s">
        <v>333</v>
      </c>
      <c r="S63" s="34" t="s">
        <v>77</v>
      </c>
      <c r="T63" s="79">
        <v>1</v>
      </c>
      <c r="U63" s="34">
        <v>0.97</v>
      </c>
      <c r="V63" s="50">
        <f t="shared" si="0"/>
        <v>0.97</v>
      </c>
      <c r="W63" s="34">
        <v>1</v>
      </c>
      <c r="X63" s="90">
        <f>(99.98%+U63)/2</f>
        <v>0.9849</v>
      </c>
      <c r="Y63" s="50">
        <f t="shared" si="1"/>
        <v>0.9849</v>
      </c>
      <c r="Z63" s="252" t="s">
        <v>458</v>
      </c>
      <c r="AA63" s="254" t="s">
        <v>448</v>
      </c>
      <c r="AB63" s="20"/>
      <c r="AC63" s="20"/>
      <c r="AD63" s="21"/>
      <c r="AE63" s="1"/>
    </row>
    <row r="64" spans="3:31" ht="327.75" customHeight="1" thickBot="1" x14ac:dyDescent="0.3">
      <c r="C64" s="886"/>
      <c r="D64" s="889"/>
      <c r="E64" s="277"/>
      <c r="F64" s="278"/>
      <c r="G64" s="833"/>
      <c r="H64" s="836"/>
      <c r="I64" s="839"/>
      <c r="J64" s="842"/>
      <c r="K64" s="836"/>
      <c r="L64" s="845"/>
      <c r="M64" s="848"/>
      <c r="N64" s="810" t="s">
        <v>242</v>
      </c>
      <c r="O64" s="816" t="s">
        <v>243</v>
      </c>
      <c r="P64" s="44" t="s">
        <v>244</v>
      </c>
      <c r="Q64" s="33" t="s">
        <v>245</v>
      </c>
      <c r="R64" s="34" t="s">
        <v>228</v>
      </c>
      <c r="S64" s="34" t="s">
        <v>229</v>
      </c>
      <c r="T64" s="90">
        <v>0.17499999999999999</v>
      </c>
      <c r="U64" s="90">
        <v>0.17499999999999999</v>
      </c>
      <c r="V64" s="50">
        <f>+U64/T64</f>
        <v>1</v>
      </c>
      <c r="W64" s="88">
        <f>12.5%+T64</f>
        <v>0.3</v>
      </c>
      <c r="X64" s="247">
        <f>12.5%+U64</f>
        <v>0.3</v>
      </c>
      <c r="Y64" s="50">
        <f t="shared" si="1"/>
        <v>1</v>
      </c>
      <c r="Z64" s="252" t="s">
        <v>449</v>
      </c>
      <c r="AA64" s="266" t="s">
        <v>450</v>
      </c>
      <c r="AB64" s="20"/>
      <c r="AC64" s="20"/>
      <c r="AD64" s="21"/>
      <c r="AE64" s="1"/>
    </row>
    <row r="65" spans="1:31" ht="379.5" customHeight="1" thickBot="1" x14ac:dyDescent="0.3">
      <c r="C65" s="886"/>
      <c r="D65" s="889"/>
      <c r="E65" s="277"/>
      <c r="F65" s="278"/>
      <c r="G65" s="834"/>
      <c r="H65" s="837"/>
      <c r="I65" s="840"/>
      <c r="J65" s="843"/>
      <c r="K65" s="837"/>
      <c r="L65" s="846"/>
      <c r="M65" s="849"/>
      <c r="N65" s="812"/>
      <c r="O65" s="817"/>
      <c r="P65" s="44" t="s">
        <v>298</v>
      </c>
      <c r="Q65" s="33" t="s">
        <v>334</v>
      </c>
      <c r="R65" s="34" t="s">
        <v>228</v>
      </c>
      <c r="S65" s="34" t="s">
        <v>164</v>
      </c>
      <c r="T65" s="79">
        <v>0.27500000000000002</v>
      </c>
      <c r="U65" s="34">
        <v>0.125</v>
      </c>
      <c r="V65" s="50">
        <f>+U65/T65</f>
        <v>0.45454545454545453</v>
      </c>
      <c r="W65" s="88">
        <f>17.5%+T65</f>
        <v>0.45</v>
      </c>
      <c r="X65" s="39">
        <f>15%+U65</f>
        <v>0.27500000000000002</v>
      </c>
      <c r="Y65" s="50">
        <f>+X65/W65</f>
        <v>0.61111111111111116</v>
      </c>
      <c r="Z65" s="252" t="s">
        <v>452</v>
      </c>
      <c r="AA65" s="267" t="s">
        <v>451</v>
      </c>
      <c r="AB65" s="20"/>
      <c r="AC65" s="20"/>
      <c r="AD65" s="21"/>
      <c r="AE65" s="1"/>
    </row>
    <row r="66" spans="1:31" ht="409.5" customHeight="1" thickBot="1" x14ac:dyDescent="0.3">
      <c r="C66" s="886"/>
      <c r="D66" s="889"/>
      <c r="E66" s="850">
        <v>4</v>
      </c>
      <c r="F66" s="853" t="s">
        <v>246</v>
      </c>
      <c r="G66" s="273">
        <v>401</v>
      </c>
      <c r="H66" s="286" t="s">
        <v>247</v>
      </c>
      <c r="I66" s="289">
        <v>0.35</v>
      </c>
      <c r="J66" s="275" t="s">
        <v>248</v>
      </c>
      <c r="K66" s="286" t="s">
        <v>249</v>
      </c>
      <c r="L66" s="293" t="s">
        <v>81</v>
      </c>
      <c r="M66" s="302">
        <v>1</v>
      </c>
      <c r="N66" s="65" t="s">
        <v>250</v>
      </c>
      <c r="O66" s="41" t="s">
        <v>335</v>
      </c>
      <c r="P66" s="46" t="s">
        <v>251</v>
      </c>
      <c r="Q66" s="41" t="s">
        <v>336</v>
      </c>
      <c r="R66" s="42" t="s">
        <v>337</v>
      </c>
      <c r="S66" s="42" t="s">
        <v>42</v>
      </c>
      <c r="T66" s="43">
        <v>5</v>
      </c>
      <c r="U66" s="43">
        <v>5</v>
      </c>
      <c r="V66" s="50">
        <f t="shared" si="0"/>
        <v>1</v>
      </c>
      <c r="W66" s="43">
        <f>5+T66</f>
        <v>10</v>
      </c>
      <c r="X66" s="43">
        <f>5+U66</f>
        <v>10</v>
      </c>
      <c r="Y66" s="50">
        <f t="shared" si="1"/>
        <v>1</v>
      </c>
      <c r="Z66" s="255" t="s">
        <v>427</v>
      </c>
      <c r="AA66" s="256" t="s">
        <v>426</v>
      </c>
      <c r="AB66" s="22"/>
      <c r="AC66" s="22"/>
      <c r="AD66" s="23">
        <f>6+5+8+4+2+13+24</f>
        <v>62</v>
      </c>
      <c r="AE66" s="1">
        <f>91-62</f>
        <v>29</v>
      </c>
    </row>
    <row r="67" spans="1:31" ht="332.25" customHeight="1" thickBot="1" x14ac:dyDescent="0.3">
      <c r="C67" s="886"/>
      <c r="D67" s="889"/>
      <c r="E67" s="851"/>
      <c r="F67" s="854"/>
      <c r="G67" s="832">
        <v>402</v>
      </c>
      <c r="H67" s="835" t="s">
        <v>286</v>
      </c>
      <c r="I67" s="838">
        <v>0.35</v>
      </c>
      <c r="J67" s="14" t="s">
        <v>252</v>
      </c>
      <c r="K67" s="47" t="s">
        <v>253</v>
      </c>
      <c r="L67" s="72" t="s">
        <v>81</v>
      </c>
      <c r="M67" s="46">
        <v>0.6</v>
      </c>
      <c r="N67" s="856" t="s">
        <v>254</v>
      </c>
      <c r="O67" s="824" t="s">
        <v>340</v>
      </c>
      <c r="P67" s="826" t="s">
        <v>255</v>
      </c>
      <c r="Q67" s="828" t="s">
        <v>341</v>
      </c>
      <c r="R67" s="820" t="s">
        <v>342</v>
      </c>
      <c r="S67" s="820" t="s">
        <v>256</v>
      </c>
      <c r="T67" s="820">
        <v>0</v>
      </c>
      <c r="U67" s="820">
        <v>0</v>
      </c>
      <c r="V67" s="769" t="e">
        <f t="shared" si="0"/>
        <v>#DIV/0!</v>
      </c>
      <c r="W67" s="820">
        <v>0</v>
      </c>
      <c r="X67" s="820">
        <f>+U67</f>
        <v>0</v>
      </c>
      <c r="Y67" s="769" t="e">
        <f t="shared" si="1"/>
        <v>#DIV/0!</v>
      </c>
      <c r="Z67" s="822" t="s">
        <v>428</v>
      </c>
      <c r="AA67" s="818" t="s">
        <v>429</v>
      </c>
      <c r="AB67" s="24"/>
      <c r="AC67" s="24"/>
      <c r="AD67" s="25"/>
      <c r="AE67" s="1"/>
    </row>
    <row r="68" spans="1:31" ht="387.75" customHeight="1" thickBot="1" x14ac:dyDescent="0.3">
      <c r="C68" s="886"/>
      <c r="D68" s="889"/>
      <c r="E68" s="851"/>
      <c r="F68" s="854"/>
      <c r="G68" s="834"/>
      <c r="H68" s="837"/>
      <c r="I68" s="840"/>
      <c r="J68" s="14" t="s">
        <v>257</v>
      </c>
      <c r="K68" s="288" t="s">
        <v>194</v>
      </c>
      <c r="L68" s="294" t="s">
        <v>81</v>
      </c>
      <c r="M68" s="303">
        <v>0.4</v>
      </c>
      <c r="N68" s="857"/>
      <c r="O68" s="825"/>
      <c r="P68" s="827"/>
      <c r="Q68" s="829"/>
      <c r="R68" s="821"/>
      <c r="S68" s="821"/>
      <c r="T68" s="821"/>
      <c r="U68" s="821"/>
      <c r="V68" s="770"/>
      <c r="W68" s="821"/>
      <c r="X68" s="821"/>
      <c r="Y68" s="770"/>
      <c r="Z68" s="823"/>
      <c r="AA68" s="819"/>
      <c r="AB68" s="24"/>
      <c r="AC68" s="24"/>
      <c r="AD68" s="25"/>
      <c r="AE68" s="1"/>
    </row>
    <row r="69" spans="1:31" ht="187.5" customHeight="1" thickBot="1" x14ac:dyDescent="0.3">
      <c r="C69" s="887"/>
      <c r="D69" s="890"/>
      <c r="E69" s="852"/>
      <c r="F69" s="855"/>
      <c r="G69" s="274">
        <v>403</v>
      </c>
      <c r="H69" s="288" t="s">
        <v>258</v>
      </c>
      <c r="I69" s="290">
        <v>0.3</v>
      </c>
      <c r="J69" s="14" t="s">
        <v>259</v>
      </c>
      <c r="K69" s="288" t="s">
        <v>260</v>
      </c>
      <c r="L69" s="294" t="s">
        <v>81</v>
      </c>
      <c r="M69" s="303">
        <v>1</v>
      </c>
      <c r="N69" s="65" t="s">
        <v>261</v>
      </c>
      <c r="O69" s="41" t="s">
        <v>262</v>
      </c>
      <c r="P69" s="46" t="s">
        <v>263</v>
      </c>
      <c r="Q69" s="41" t="s">
        <v>194</v>
      </c>
      <c r="R69" s="42" t="s">
        <v>194</v>
      </c>
      <c r="S69" s="42" t="s">
        <v>42</v>
      </c>
      <c r="T69" s="43">
        <v>1</v>
      </c>
      <c r="U69" s="43">
        <v>0</v>
      </c>
      <c r="V69" s="51">
        <f t="shared" si="0"/>
        <v>0</v>
      </c>
      <c r="W69" s="43">
        <f>+T69</f>
        <v>1</v>
      </c>
      <c r="X69" s="43">
        <f>+U69</f>
        <v>0</v>
      </c>
      <c r="Y69" s="51">
        <f t="shared" si="1"/>
        <v>0</v>
      </c>
      <c r="Z69" s="255" t="s">
        <v>297</v>
      </c>
      <c r="AA69" s="107"/>
      <c r="AB69" s="22"/>
      <c r="AC69" s="22"/>
      <c r="AD69" s="23"/>
      <c r="AE69" s="1"/>
    </row>
    <row r="70" spans="1:31" ht="12.75" customHeight="1" x14ac:dyDescent="0.35">
      <c r="E70" s="26"/>
      <c r="F70" s="2"/>
      <c r="G70" s="1"/>
      <c r="H70" s="3"/>
      <c r="I70" s="4"/>
      <c r="J70" s="1"/>
      <c r="K70" s="3"/>
      <c r="L70" s="5"/>
      <c r="M70" s="27"/>
      <c r="N70" s="27"/>
      <c r="O70" s="27"/>
      <c r="P70" s="27"/>
      <c r="Q70" s="27"/>
      <c r="R70" s="27"/>
      <c r="S70" s="27"/>
      <c r="T70" s="27"/>
      <c r="U70" s="27"/>
      <c r="V70" s="27"/>
      <c r="W70" s="27"/>
      <c r="X70" s="27"/>
      <c r="Y70" s="27"/>
      <c r="Z70" s="27"/>
      <c r="AA70" s="27"/>
      <c r="AB70" s="27"/>
      <c r="AC70" s="27"/>
      <c r="AD70" s="27"/>
      <c r="AE70" s="1"/>
    </row>
    <row r="71" spans="1:31" s="29" customFormat="1" x14ac:dyDescent="0.35">
      <c r="A71" s="2"/>
      <c r="B71" s="2"/>
      <c r="C71" s="2"/>
      <c r="D71" s="2"/>
      <c r="E71" s="1"/>
      <c r="F71" s="2"/>
      <c r="G71" s="1"/>
      <c r="H71" s="3"/>
      <c r="I71" s="28"/>
      <c r="J71" s="1"/>
      <c r="K71" s="3"/>
      <c r="L71" s="5"/>
      <c r="M71" s="1"/>
      <c r="N71" s="1"/>
      <c r="O71" s="1"/>
      <c r="P71" s="1"/>
      <c r="Q71" s="1"/>
      <c r="R71" s="1"/>
      <c r="S71" s="1"/>
      <c r="T71" s="1"/>
      <c r="U71" s="1"/>
      <c r="V71" s="1"/>
      <c r="W71" s="1"/>
      <c r="X71" s="1"/>
      <c r="Y71" s="1"/>
      <c r="Z71" s="1"/>
      <c r="AA71" s="1"/>
      <c r="AB71" s="1"/>
      <c r="AC71" s="1"/>
      <c r="AD71" s="1"/>
      <c r="AE71" s="2"/>
    </row>
    <row r="72" spans="1:31" x14ac:dyDescent="0.35">
      <c r="E72" s="1"/>
      <c r="F72" s="2"/>
      <c r="G72" s="1"/>
      <c r="H72" s="3"/>
      <c r="I72" s="4"/>
      <c r="J72" s="1"/>
      <c r="K72" s="3"/>
      <c r="L72" s="5"/>
      <c r="M72" s="1"/>
      <c r="N72" s="1"/>
      <c r="O72" s="1"/>
      <c r="P72" s="1"/>
      <c r="Q72" s="1"/>
      <c r="R72" s="1"/>
      <c r="S72" s="1"/>
      <c r="T72" s="1"/>
      <c r="U72" s="1"/>
      <c r="V72" s="1"/>
      <c r="W72" s="1"/>
      <c r="X72" s="1"/>
      <c r="Y72" s="1"/>
      <c r="Z72" s="1"/>
      <c r="AA72" s="1"/>
      <c r="AB72" s="1"/>
      <c r="AC72" s="1"/>
      <c r="AD72" s="1"/>
      <c r="AE72" s="1"/>
    </row>
    <row r="73" spans="1:31" x14ac:dyDescent="0.35">
      <c r="E73" s="1"/>
      <c r="F73" s="2"/>
      <c r="G73" s="1"/>
      <c r="H73" s="3"/>
      <c r="I73" s="4"/>
      <c r="J73" s="1"/>
      <c r="K73" s="3"/>
      <c r="L73" s="5"/>
      <c r="M73" s="1"/>
      <c r="N73" s="1"/>
      <c r="O73" s="1"/>
      <c r="P73" s="1"/>
      <c r="Q73" s="1"/>
      <c r="R73" s="1"/>
      <c r="S73" s="1"/>
      <c r="T73" s="1"/>
      <c r="U73" s="1"/>
      <c r="V73" s="1"/>
      <c r="W73" s="1"/>
      <c r="X73" s="1"/>
      <c r="Y73" s="1"/>
      <c r="Z73" s="1"/>
      <c r="AA73" s="1"/>
      <c r="AB73" s="1"/>
      <c r="AC73" s="1"/>
      <c r="AD73" s="1"/>
      <c r="AE73" s="1"/>
    </row>
  </sheetData>
  <sheetProtection algorithmName="SHA-512" hashValue="hZEey/Xg1tJsp/N9ACZk6ilE0C6gPYMsSUr3tkGBl23ECUjKP+E6gUcQcgB0xfCyBCwqhBTpGdUNPleKCP2fKA==" saltValue="ifphMDoua2AFSjxXcjjHow==" spinCount="100000" sheet="1" objects="1" scenarios="1"/>
  <mergeCells count="178">
    <mergeCell ref="C2:AA2"/>
    <mergeCell ref="C3:AA3"/>
    <mergeCell ref="C4:AA4"/>
    <mergeCell ref="C6:M6"/>
    <mergeCell ref="N6:AA6"/>
    <mergeCell ref="C7:C8"/>
    <mergeCell ref="D7:D8"/>
    <mergeCell ref="E7:F7"/>
    <mergeCell ref="G7:I7"/>
    <mergeCell ref="J7:M7"/>
    <mergeCell ref="Z7:Z8"/>
    <mergeCell ref="AA7:AA8"/>
    <mergeCell ref="C9:C69"/>
    <mergeCell ref="D9:D69"/>
    <mergeCell ref="E9:E15"/>
    <mergeCell ref="F9:F15"/>
    <mergeCell ref="AA9:AA11"/>
    <mergeCell ref="G10:G12"/>
    <mergeCell ref="H10:H12"/>
    <mergeCell ref="I10:I12"/>
    <mergeCell ref="N7:O7"/>
    <mergeCell ref="P7:Q7"/>
    <mergeCell ref="R7:R8"/>
    <mergeCell ref="S7:S8"/>
    <mergeCell ref="T7:V7"/>
    <mergeCell ref="W7:Y7"/>
    <mergeCell ref="E16:E22"/>
    <mergeCell ref="F16:F22"/>
    <mergeCell ref="G16:G17"/>
    <mergeCell ref="H16:H17"/>
    <mergeCell ref="Z10:Z11"/>
    <mergeCell ref="G13:G15"/>
    <mergeCell ref="H13:H15"/>
    <mergeCell ref="I13:I15"/>
    <mergeCell ref="J13:J14"/>
    <mergeCell ref="K13:K14"/>
    <mergeCell ref="L13:L14"/>
    <mergeCell ref="M13:M14"/>
    <mergeCell ref="N14:N15"/>
    <mergeCell ref="O14:O15"/>
    <mergeCell ref="T10:T11"/>
    <mergeCell ref="U10:U11"/>
    <mergeCell ref="V10:V11"/>
    <mergeCell ref="W10:W11"/>
    <mergeCell ref="X10:X11"/>
    <mergeCell ref="Y10:Y11"/>
    <mergeCell ref="N10:N11"/>
    <mergeCell ref="O10:O11"/>
    <mergeCell ref="P10:P11"/>
    <mergeCell ref="Q10:Q11"/>
    <mergeCell ref="R10:R11"/>
    <mergeCell ref="S10:S11"/>
    <mergeCell ref="AA16:AA22"/>
    <mergeCell ref="G18:G19"/>
    <mergeCell ref="H18:H19"/>
    <mergeCell ref="I18:I19"/>
    <mergeCell ref="G20:G22"/>
    <mergeCell ref="H20:H22"/>
    <mergeCell ref="I20:I22"/>
    <mergeCell ref="U16:U22"/>
    <mergeCell ref="V16:V22"/>
    <mergeCell ref="W16:W22"/>
    <mergeCell ref="X16:X22"/>
    <mergeCell ref="Y16:Y22"/>
    <mergeCell ref="Z16:Z22"/>
    <mergeCell ref="O16:O22"/>
    <mergeCell ref="P16:P22"/>
    <mergeCell ref="Q16:Q22"/>
    <mergeCell ref="R16:R22"/>
    <mergeCell ref="S16:S22"/>
    <mergeCell ref="T16:T22"/>
    <mergeCell ref="I16:I17"/>
    <mergeCell ref="N16:N22"/>
    <mergeCell ref="E23:E43"/>
    <mergeCell ref="F23:F43"/>
    <mergeCell ref="G24:G25"/>
    <mergeCell ref="H24:H25"/>
    <mergeCell ref="I24:I25"/>
    <mergeCell ref="J24:J25"/>
    <mergeCell ref="G38:G40"/>
    <mergeCell ref="H38:H40"/>
    <mergeCell ref="I38:I40"/>
    <mergeCell ref="G34:G37"/>
    <mergeCell ref="H34:H37"/>
    <mergeCell ref="I34:I37"/>
    <mergeCell ref="K24:K25"/>
    <mergeCell ref="L24:L25"/>
    <mergeCell ref="M24:M25"/>
    <mergeCell ref="G26:G30"/>
    <mergeCell ref="H26:H30"/>
    <mergeCell ref="I26:I30"/>
    <mergeCell ref="J26:J30"/>
    <mergeCell ref="K26:K30"/>
    <mergeCell ref="L26:L30"/>
    <mergeCell ref="M26:M30"/>
    <mergeCell ref="N26:N27"/>
    <mergeCell ref="O26:O27"/>
    <mergeCell ref="AA26:AA29"/>
    <mergeCell ref="G31:G33"/>
    <mergeCell ref="H31:H33"/>
    <mergeCell ref="I31:I33"/>
    <mergeCell ref="J31:J33"/>
    <mergeCell ref="K31:K33"/>
    <mergeCell ref="L31:L33"/>
    <mergeCell ref="M31:M33"/>
    <mergeCell ref="N32:N33"/>
    <mergeCell ref="O32:O33"/>
    <mergeCell ref="AA32:AA33"/>
    <mergeCell ref="N34:N36"/>
    <mergeCell ref="O34:O36"/>
    <mergeCell ref="AA34:AA36"/>
    <mergeCell ref="Z38:Z40"/>
    <mergeCell ref="AA38:AA40"/>
    <mergeCell ref="G41:G44"/>
    <mergeCell ref="H41:H44"/>
    <mergeCell ref="I41:I44"/>
    <mergeCell ref="AA41:AA42"/>
    <mergeCell ref="J42:J44"/>
    <mergeCell ref="K42:K44"/>
    <mergeCell ref="L42:L44"/>
    <mergeCell ref="M42:M44"/>
    <mergeCell ref="T38:T40"/>
    <mergeCell ref="U38:U40"/>
    <mergeCell ref="V38:V40"/>
    <mergeCell ref="W38:W40"/>
    <mergeCell ref="X38:X40"/>
    <mergeCell ref="Y38:Y40"/>
    <mergeCell ref="N38:N40"/>
    <mergeCell ref="O38:O40"/>
    <mergeCell ref="P38:P40"/>
    <mergeCell ref="Q38:Q40"/>
    <mergeCell ref="R38:R40"/>
    <mergeCell ref="S38:S40"/>
    <mergeCell ref="N43:N44"/>
    <mergeCell ref="O43:O44"/>
    <mergeCell ref="G45:G52"/>
    <mergeCell ref="H45:H52"/>
    <mergeCell ref="I45:I52"/>
    <mergeCell ref="N45:N49"/>
    <mergeCell ref="O45:O49"/>
    <mergeCell ref="J46:J52"/>
    <mergeCell ref="K46:K52"/>
    <mergeCell ref="L46:L52"/>
    <mergeCell ref="M46:M52"/>
    <mergeCell ref="Z46:Z47"/>
    <mergeCell ref="G53:G65"/>
    <mergeCell ref="H53:H65"/>
    <mergeCell ref="I53:I65"/>
    <mergeCell ref="J53:J65"/>
    <mergeCell ref="K53:K65"/>
    <mergeCell ref="L53:L65"/>
    <mergeCell ref="M53:M65"/>
    <mergeCell ref="E66:E69"/>
    <mergeCell ref="F66:F69"/>
    <mergeCell ref="G67:G68"/>
    <mergeCell ref="H67:H68"/>
    <mergeCell ref="I67:I68"/>
    <mergeCell ref="N67:N68"/>
    <mergeCell ref="AA54:AA55"/>
    <mergeCell ref="N57:N59"/>
    <mergeCell ref="O57:O59"/>
    <mergeCell ref="N62:N63"/>
    <mergeCell ref="O62:O63"/>
    <mergeCell ref="N64:N65"/>
    <mergeCell ref="O64:O65"/>
    <mergeCell ref="AA67:AA68"/>
    <mergeCell ref="U67:U68"/>
    <mergeCell ref="V67:V68"/>
    <mergeCell ref="W67:W68"/>
    <mergeCell ref="X67:X68"/>
    <mergeCell ref="Y67:Y68"/>
    <mergeCell ref="Z67:Z68"/>
    <mergeCell ref="O67:O68"/>
    <mergeCell ref="P67:P68"/>
    <mergeCell ref="Q67:Q68"/>
    <mergeCell ref="R67:R68"/>
    <mergeCell ref="S67:S68"/>
    <mergeCell ref="T67:T68"/>
  </mergeCells>
  <conditionalFormatting sqref="V9:V10 Y10 Y41:Y67 V41:V67">
    <cfRule type="cellIs" dxfId="86" priority="10" stopIfTrue="1" operator="greaterThanOrEqual">
      <formula>80.01%</formula>
    </cfRule>
    <cfRule type="cellIs" dxfId="85" priority="11" stopIfTrue="1" operator="between">
      <formula>0.501</formula>
      <formula>0.8</formula>
    </cfRule>
    <cfRule type="cellIs" dxfId="84" priority="12" stopIfTrue="1" operator="lessThanOrEqual">
      <formula>0.5</formula>
    </cfRule>
  </conditionalFormatting>
  <conditionalFormatting sqref="Y9">
    <cfRule type="cellIs" dxfId="83" priority="7" stopIfTrue="1" operator="greaterThanOrEqual">
      <formula>80.01%</formula>
    </cfRule>
    <cfRule type="cellIs" dxfId="82" priority="8" stopIfTrue="1" operator="between">
      <formula>0.501</formula>
      <formula>0.8</formula>
    </cfRule>
    <cfRule type="cellIs" dxfId="81" priority="9" stopIfTrue="1" operator="lessThanOrEqual">
      <formula>0.5</formula>
    </cfRule>
  </conditionalFormatting>
  <conditionalFormatting sqref="V12:V16 V23:V38 V69">
    <cfRule type="cellIs" dxfId="80" priority="4" stopIfTrue="1" operator="greaterThanOrEqual">
      <formula>80.01%</formula>
    </cfRule>
    <cfRule type="cellIs" dxfId="79" priority="5" stopIfTrue="1" operator="between">
      <formula>0.501</formula>
      <formula>0.8</formula>
    </cfRule>
    <cfRule type="cellIs" dxfId="78" priority="6" stopIfTrue="1" operator="lessThanOrEqual">
      <formula>0.5</formula>
    </cfRule>
  </conditionalFormatting>
  <conditionalFormatting sqref="Y12:Y16 Y23:Y38 Y69">
    <cfRule type="cellIs" dxfId="77" priority="1" stopIfTrue="1" operator="greaterThanOrEqual">
      <formula>80.01%</formula>
    </cfRule>
    <cfRule type="cellIs" dxfId="76" priority="2" stopIfTrue="1" operator="between">
      <formula>0.501</formula>
      <formula>0.8</formula>
    </cfRule>
    <cfRule type="cellIs" dxfId="75" priority="3" stopIfTrue="1" operator="lessThanOrEqual">
      <formula>0.5</formula>
    </cfRule>
  </conditionalFormatting>
  <pageMargins left="0.39370078740157483" right="0.19685039370078741" top="0.59055118110236227" bottom="0.19685039370078741" header="0.31496062992125984" footer="0"/>
  <pageSetup paperSize="5" scale="23" orientation="landscape" r:id="rId1"/>
  <headerFooter alignWithMargins="0">
    <oddFooter>Página &amp;P de &amp;F</oddFooter>
  </headerFooter>
  <rowBreaks count="2" manualBreakCount="2">
    <brk id="33" max="16383" man="1"/>
    <brk id="59"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74"/>
  <sheetViews>
    <sheetView view="pageBreakPreview" topLeftCell="I44" zoomScale="40" zoomScaleNormal="70" zoomScaleSheetLayoutView="40" workbookViewId="0">
      <selection activeCell="Q47" sqref="Q47"/>
    </sheetView>
  </sheetViews>
  <sheetFormatPr baseColWidth="10" defaultRowHeight="22.5" x14ac:dyDescent="0.35"/>
  <cols>
    <col min="1" max="1" width="2.85546875" style="1" customWidth="1"/>
    <col min="2" max="2" width="2" style="1" customWidth="1"/>
    <col min="3" max="4" width="10.140625" style="1" customWidth="1"/>
    <col min="5" max="5" width="7" style="6" customWidth="1"/>
    <col min="6" max="6" width="11" style="29" customWidth="1"/>
    <col min="7" max="7" width="7.7109375" style="6" customWidth="1"/>
    <col min="8" max="8" width="47.140625" style="30" customWidth="1"/>
    <col min="9" max="9" width="12.28515625" style="31" customWidth="1"/>
    <col min="10" max="10" width="11.42578125" style="6" customWidth="1"/>
    <col min="11" max="11" width="52.5703125" style="30" customWidth="1"/>
    <col min="12" max="12" width="11.5703125" style="32" customWidth="1"/>
    <col min="13" max="13" width="12.42578125" style="6" customWidth="1"/>
    <col min="14" max="14" width="15" style="6" customWidth="1"/>
    <col min="15" max="15" width="44.28515625" style="6" customWidth="1"/>
    <col min="16" max="16" width="16.85546875" style="6" customWidth="1"/>
    <col min="17" max="17" width="44.7109375" style="6" customWidth="1"/>
    <col min="18" max="18" width="34" style="6" customWidth="1"/>
    <col min="19" max="19" width="26.42578125" style="6" customWidth="1"/>
    <col min="20" max="20" width="28.7109375" style="6" customWidth="1"/>
    <col min="21" max="21" width="29.140625" style="6" customWidth="1"/>
    <col min="22" max="22" width="23" style="6" customWidth="1"/>
    <col min="23" max="23" width="29.7109375" style="6" customWidth="1"/>
    <col min="24" max="24" width="29.42578125" style="6" customWidth="1"/>
    <col min="25" max="25" width="22.28515625" style="6" customWidth="1"/>
    <col min="26" max="26" width="78.5703125" style="6" customWidth="1"/>
    <col min="27" max="27" width="77.42578125" style="6" customWidth="1"/>
    <col min="28" max="28" width="6.140625" style="6" customWidth="1"/>
    <col min="29" max="29" width="12.42578125" style="6" customWidth="1"/>
    <col min="30" max="30" width="23.7109375" style="6" customWidth="1"/>
    <col min="31" max="31" width="10.28515625" style="6" customWidth="1"/>
    <col min="32" max="32" width="8" style="6" customWidth="1"/>
    <col min="33" max="16384" width="11.42578125" style="6"/>
  </cols>
  <sheetData>
    <row r="1" spans="3:35" ht="7.5" customHeight="1" x14ac:dyDescent="0.35">
      <c r="E1" s="1"/>
      <c r="F1" s="2"/>
      <c r="G1" s="1"/>
      <c r="H1" s="3"/>
      <c r="I1" s="4"/>
      <c r="J1" s="1"/>
      <c r="K1" s="3"/>
      <c r="L1" s="5"/>
      <c r="M1" s="1"/>
      <c r="N1" s="1"/>
      <c r="O1" s="1"/>
      <c r="P1" s="1"/>
      <c r="Q1" s="1"/>
      <c r="R1" s="1"/>
      <c r="S1" s="1"/>
      <c r="T1" s="1"/>
      <c r="U1" s="1"/>
      <c r="V1" s="1"/>
      <c r="W1" s="1"/>
      <c r="X1" s="1"/>
      <c r="Y1" s="1"/>
      <c r="Z1" s="1"/>
      <c r="AA1" s="1"/>
      <c r="AB1" s="1"/>
      <c r="AC1" s="1"/>
      <c r="AD1" s="1"/>
      <c r="AE1" s="1"/>
    </row>
    <row r="2" spans="3:35" ht="42" customHeight="1" x14ac:dyDescent="0.25">
      <c r="C2" s="910" t="s">
        <v>0</v>
      </c>
      <c r="D2" s="910"/>
      <c r="E2" s="910"/>
      <c r="F2" s="910"/>
      <c r="G2" s="910"/>
      <c r="H2" s="910"/>
      <c r="I2" s="910"/>
      <c r="J2" s="910"/>
      <c r="K2" s="910"/>
      <c r="L2" s="910"/>
      <c r="M2" s="910"/>
      <c r="N2" s="910"/>
      <c r="O2" s="910"/>
      <c r="P2" s="910"/>
      <c r="Q2" s="910"/>
      <c r="R2" s="910"/>
      <c r="S2" s="910"/>
      <c r="T2" s="910"/>
      <c r="U2" s="910"/>
      <c r="V2" s="910"/>
      <c r="W2" s="910"/>
      <c r="X2" s="910"/>
      <c r="Y2" s="910"/>
      <c r="Z2" s="910"/>
      <c r="AA2" s="910"/>
      <c r="AB2" s="7"/>
      <c r="AC2" s="7"/>
      <c r="AD2" s="7"/>
      <c r="AE2" s="1"/>
    </row>
    <row r="3" spans="3:35" ht="27" customHeight="1" x14ac:dyDescent="0.25">
      <c r="C3" s="910" t="s">
        <v>486</v>
      </c>
      <c r="D3" s="910"/>
      <c r="E3" s="910"/>
      <c r="F3" s="910"/>
      <c r="G3" s="910"/>
      <c r="H3" s="910"/>
      <c r="I3" s="910"/>
      <c r="J3" s="910"/>
      <c r="K3" s="910"/>
      <c r="L3" s="910"/>
      <c r="M3" s="910"/>
      <c r="N3" s="910"/>
      <c r="O3" s="910"/>
      <c r="P3" s="910"/>
      <c r="Q3" s="910"/>
      <c r="R3" s="910"/>
      <c r="S3" s="910"/>
      <c r="T3" s="910"/>
      <c r="U3" s="910"/>
      <c r="V3" s="910"/>
      <c r="W3" s="910"/>
      <c r="X3" s="910"/>
      <c r="Y3" s="910"/>
      <c r="Z3" s="910"/>
      <c r="AA3" s="910"/>
      <c r="AB3" s="7"/>
      <c r="AC3" s="7"/>
      <c r="AD3" s="7"/>
      <c r="AE3" s="1"/>
    </row>
    <row r="4" spans="3:35" ht="36" customHeight="1" x14ac:dyDescent="0.25">
      <c r="C4" s="911" t="s">
        <v>459</v>
      </c>
      <c r="D4" s="911"/>
      <c r="E4" s="911"/>
      <c r="F4" s="911"/>
      <c r="G4" s="911"/>
      <c r="H4" s="911"/>
      <c r="I4" s="911"/>
      <c r="J4" s="911"/>
      <c r="K4" s="911"/>
      <c r="L4" s="911"/>
      <c r="M4" s="911"/>
      <c r="N4" s="911"/>
      <c r="O4" s="911"/>
      <c r="P4" s="911"/>
      <c r="Q4" s="911"/>
      <c r="R4" s="911"/>
      <c r="S4" s="911"/>
      <c r="T4" s="911"/>
      <c r="U4" s="911"/>
      <c r="V4" s="911"/>
      <c r="W4" s="911"/>
      <c r="X4" s="911"/>
      <c r="Y4" s="911"/>
      <c r="Z4" s="911"/>
      <c r="AA4" s="911"/>
      <c r="AB4" s="353"/>
      <c r="AC4" s="353"/>
      <c r="AD4" s="353"/>
      <c r="AE4" s="1"/>
    </row>
    <row r="5" spans="3:35" ht="19.5" customHeight="1" thickBot="1" x14ac:dyDescent="0.3">
      <c r="E5" s="8"/>
      <c r="F5" s="8"/>
      <c r="G5" s="8"/>
      <c r="H5" s="8"/>
      <c r="I5" s="8"/>
      <c r="J5" s="8"/>
      <c r="K5" s="8"/>
      <c r="L5" s="8"/>
      <c r="M5" s="8"/>
      <c r="N5" s="8"/>
      <c r="O5" s="8"/>
      <c r="P5" s="8"/>
      <c r="Q5" s="8"/>
      <c r="R5" s="8"/>
      <c r="S5" s="8"/>
      <c r="T5" s="8"/>
      <c r="U5" s="8"/>
      <c r="V5" s="8"/>
      <c r="W5" s="8"/>
      <c r="X5" s="8"/>
      <c r="Y5" s="8"/>
      <c r="Z5" s="8"/>
      <c r="AA5" s="8"/>
      <c r="AB5" s="8"/>
      <c r="AC5" s="8"/>
      <c r="AD5" s="8"/>
      <c r="AE5" s="1"/>
    </row>
    <row r="6" spans="3:35" ht="42.75" customHeight="1" thickBot="1" x14ac:dyDescent="0.3">
      <c r="C6" s="912" t="s">
        <v>1</v>
      </c>
      <c r="D6" s="913"/>
      <c r="E6" s="913"/>
      <c r="F6" s="913"/>
      <c r="G6" s="913"/>
      <c r="H6" s="913"/>
      <c r="I6" s="913"/>
      <c r="J6" s="913"/>
      <c r="K6" s="913"/>
      <c r="L6" s="913"/>
      <c r="M6" s="914"/>
      <c r="N6" s="915" t="s">
        <v>2</v>
      </c>
      <c r="O6" s="916"/>
      <c r="P6" s="916"/>
      <c r="Q6" s="916"/>
      <c r="R6" s="916"/>
      <c r="S6" s="916"/>
      <c r="T6" s="916"/>
      <c r="U6" s="916"/>
      <c r="V6" s="916"/>
      <c r="W6" s="916"/>
      <c r="X6" s="916"/>
      <c r="Y6" s="916"/>
      <c r="Z6" s="916"/>
      <c r="AA6" s="917"/>
      <c r="AB6" s="9"/>
      <c r="AC6" s="9"/>
      <c r="AD6" s="9"/>
      <c r="AE6" s="1"/>
    </row>
    <row r="7" spans="3:35" ht="56.25" customHeight="1" thickBot="1" x14ac:dyDescent="0.3">
      <c r="C7" s="918" t="s">
        <v>3</v>
      </c>
      <c r="D7" s="918" t="s">
        <v>4</v>
      </c>
      <c r="E7" s="920" t="s">
        <v>5</v>
      </c>
      <c r="F7" s="921"/>
      <c r="G7" s="922" t="s">
        <v>6</v>
      </c>
      <c r="H7" s="923"/>
      <c r="I7" s="924"/>
      <c r="J7" s="922" t="s">
        <v>7</v>
      </c>
      <c r="K7" s="923"/>
      <c r="L7" s="923"/>
      <c r="M7" s="924"/>
      <c r="N7" s="898" t="s">
        <v>6</v>
      </c>
      <c r="O7" s="899"/>
      <c r="P7" s="898" t="s">
        <v>7</v>
      </c>
      <c r="Q7" s="899"/>
      <c r="R7" s="900" t="s">
        <v>8</v>
      </c>
      <c r="S7" s="902" t="s">
        <v>9</v>
      </c>
      <c r="T7" s="898" t="s">
        <v>461</v>
      </c>
      <c r="U7" s="904"/>
      <c r="V7" s="899"/>
      <c r="W7" s="905" t="s">
        <v>460</v>
      </c>
      <c r="X7" s="906"/>
      <c r="Y7" s="907"/>
      <c r="Z7" s="925" t="s">
        <v>266</v>
      </c>
      <c r="AA7" s="925" t="s">
        <v>267</v>
      </c>
      <c r="AB7" s="10"/>
      <c r="AC7" s="10"/>
      <c r="AD7" s="10"/>
      <c r="AE7" s="1"/>
    </row>
    <row r="8" spans="3:35" ht="79.5" customHeight="1" thickBot="1" x14ac:dyDescent="0.3">
      <c r="C8" s="919"/>
      <c r="D8" s="919"/>
      <c r="E8" s="66" t="s">
        <v>10</v>
      </c>
      <c r="F8" s="66" t="s">
        <v>11</v>
      </c>
      <c r="G8" s="66" t="s">
        <v>10</v>
      </c>
      <c r="H8" s="71" t="s">
        <v>12</v>
      </c>
      <c r="I8" s="66" t="s">
        <v>13</v>
      </c>
      <c r="J8" s="66" t="s">
        <v>10</v>
      </c>
      <c r="K8" s="71" t="s">
        <v>14</v>
      </c>
      <c r="L8" s="66" t="s">
        <v>15</v>
      </c>
      <c r="M8" s="66" t="s">
        <v>16</v>
      </c>
      <c r="N8" s="332" t="s">
        <v>17</v>
      </c>
      <c r="O8" s="333" t="s">
        <v>12</v>
      </c>
      <c r="P8" s="67" t="s">
        <v>17</v>
      </c>
      <c r="Q8" s="333" t="s">
        <v>14</v>
      </c>
      <c r="R8" s="901"/>
      <c r="S8" s="903"/>
      <c r="T8" s="68" t="s">
        <v>462</v>
      </c>
      <c r="U8" s="68" t="s">
        <v>463</v>
      </c>
      <c r="V8" s="68" t="s">
        <v>265</v>
      </c>
      <c r="W8" s="68" t="s">
        <v>464</v>
      </c>
      <c r="X8" s="68" t="s">
        <v>465</v>
      </c>
      <c r="Y8" s="68" t="s">
        <v>265</v>
      </c>
      <c r="Z8" s="926"/>
      <c r="AA8" s="926"/>
      <c r="AB8" s="10"/>
      <c r="AC8" s="10"/>
      <c r="AD8" s="10"/>
      <c r="AE8" s="1"/>
    </row>
    <row r="9" spans="3:35" ht="147" customHeight="1" thickBot="1" x14ac:dyDescent="0.3">
      <c r="C9" s="885" t="s">
        <v>18</v>
      </c>
      <c r="D9" s="888" t="s">
        <v>19</v>
      </c>
      <c r="E9" s="891">
        <v>1</v>
      </c>
      <c r="F9" s="893" t="s">
        <v>20</v>
      </c>
      <c r="G9" s="95">
        <v>101</v>
      </c>
      <c r="H9" s="96" t="s">
        <v>21</v>
      </c>
      <c r="I9" s="97">
        <v>0.6</v>
      </c>
      <c r="J9" s="324" t="s">
        <v>22</v>
      </c>
      <c r="K9" s="96" t="s">
        <v>23</v>
      </c>
      <c r="L9" s="98" t="s">
        <v>24</v>
      </c>
      <c r="M9" s="99">
        <v>1</v>
      </c>
      <c r="N9" s="336" t="s">
        <v>25</v>
      </c>
      <c r="O9" s="100" t="s">
        <v>26</v>
      </c>
      <c r="P9" s="44" t="s">
        <v>27</v>
      </c>
      <c r="Q9" s="33" t="s">
        <v>306</v>
      </c>
      <c r="R9" s="34" t="s">
        <v>307</v>
      </c>
      <c r="S9" s="34" t="s">
        <v>28</v>
      </c>
      <c r="T9" s="94">
        <v>177033</v>
      </c>
      <c r="U9" s="92">
        <f>-182849-95774</f>
        <v>-278623</v>
      </c>
      <c r="V9" s="50">
        <f>+U9/T9</f>
        <v>-1.5738478136844543</v>
      </c>
      <c r="W9" s="69">
        <f>493618+T9</f>
        <v>670651</v>
      </c>
      <c r="X9" s="70">
        <f>401906+U9</f>
        <v>123283</v>
      </c>
      <c r="Y9" s="50">
        <f>+X9/W9</f>
        <v>0.18382586471950388</v>
      </c>
      <c r="Z9" s="139" t="s">
        <v>551</v>
      </c>
      <c r="AA9" s="254" t="s">
        <v>549</v>
      </c>
      <c r="AB9" s="11"/>
      <c r="AC9" s="12"/>
      <c r="AD9" s="91"/>
      <c r="AE9" s="1"/>
    </row>
    <row r="10" spans="3:35" ht="81" customHeight="1" thickBot="1" x14ac:dyDescent="0.3">
      <c r="C10" s="886"/>
      <c r="D10" s="889"/>
      <c r="E10" s="892"/>
      <c r="F10" s="894"/>
      <c r="G10" s="832">
        <v>102</v>
      </c>
      <c r="H10" s="835" t="s">
        <v>29</v>
      </c>
      <c r="I10" s="895">
        <v>0.2</v>
      </c>
      <c r="J10" s="324" t="s">
        <v>30</v>
      </c>
      <c r="K10" s="329" t="s">
        <v>31</v>
      </c>
      <c r="L10" s="334" t="s">
        <v>24</v>
      </c>
      <c r="M10" s="336">
        <v>0.4</v>
      </c>
      <c r="N10" s="847" t="s">
        <v>32</v>
      </c>
      <c r="O10" s="813" t="s">
        <v>33</v>
      </c>
      <c r="P10" s="847" t="s">
        <v>34</v>
      </c>
      <c r="Q10" s="813" t="s">
        <v>331</v>
      </c>
      <c r="R10" s="858" t="s">
        <v>305</v>
      </c>
      <c r="S10" s="858" t="s">
        <v>28</v>
      </c>
      <c r="T10" s="881">
        <v>20000</v>
      </c>
      <c r="U10" s="881">
        <f>43571+26401</f>
        <v>69972</v>
      </c>
      <c r="V10" s="769">
        <f t="shared" ref="V10:V68" si="0">+U10/T10</f>
        <v>3.4986000000000002</v>
      </c>
      <c r="W10" s="881">
        <f>85000+T10</f>
        <v>105000</v>
      </c>
      <c r="X10" s="883">
        <f>40305+U10</f>
        <v>110277</v>
      </c>
      <c r="Y10" s="769">
        <f t="shared" ref="Y10:Y70" si="1">+X10/W10</f>
        <v>1.0502571428571428</v>
      </c>
      <c r="Z10" s="773" t="s">
        <v>550</v>
      </c>
      <c r="AA10" s="936" t="s">
        <v>293</v>
      </c>
      <c r="AB10" s="11"/>
      <c r="AC10" s="12"/>
      <c r="AD10" s="13"/>
      <c r="AE10" s="1"/>
    </row>
    <row r="11" spans="3:35" ht="81.75" customHeight="1" thickBot="1" x14ac:dyDescent="0.3">
      <c r="C11" s="886"/>
      <c r="D11" s="889"/>
      <c r="E11" s="892"/>
      <c r="F11" s="894"/>
      <c r="G11" s="833"/>
      <c r="H11" s="836"/>
      <c r="I11" s="896"/>
      <c r="J11" s="14" t="s">
        <v>35</v>
      </c>
      <c r="K11" s="47" t="s">
        <v>36</v>
      </c>
      <c r="L11" s="334" t="s">
        <v>24</v>
      </c>
      <c r="M11" s="44">
        <v>0.3</v>
      </c>
      <c r="N11" s="849"/>
      <c r="O11" s="815"/>
      <c r="P11" s="849"/>
      <c r="Q11" s="815"/>
      <c r="R11" s="860"/>
      <c r="S11" s="860"/>
      <c r="T11" s="882"/>
      <c r="U11" s="882"/>
      <c r="V11" s="770"/>
      <c r="W11" s="882"/>
      <c r="X11" s="884"/>
      <c r="Y11" s="770"/>
      <c r="Z11" s="774"/>
      <c r="AA11" s="937"/>
      <c r="AB11" s="11"/>
      <c r="AC11" s="12"/>
      <c r="AD11" s="12"/>
      <c r="AE11" s="1"/>
    </row>
    <row r="12" spans="3:35" ht="228" customHeight="1" thickBot="1" x14ac:dyDescent="0.3">
      <c r="C12" s="886"/>
      <c r="D12" s="889"/>
      <c r="E12" s="892"/>
      <c r="F12" s="894"/>
      <c r="G12" s="834"/>
      <c r="H12" s="837"/>
      <c r="I12" s="897"/>
      <c r="J12" s="14" t="s">
        <v>37</v>
      </c>
      <c r="K12" s="47" t="s">
        <v>38</v>
      </c>
      <c r="L12" s="72" t="s">
        <v>24</v>
      </c>
      <c r="M12" s="44">
        <v>0.3</v>
      </c>
      <c r="N12" s="44" t="s">
        <v>39</v>
      </c>
      <c r="O12" s="33" t="s">
        <v>308</v>
      </c>
      <c r="P12" s="44" t="s">
        <v>40</v>
      </c>
      <c r="Q12" s="33" t="s">
        <v>308</v>
      </c>
      <c r="R12" s="34" t="s">
        <v>41</v>
      </c>
      <c r="S12" s="34" t="s">
        <v>42</v>
      </c>
      <c r="T12" s="36">
        <v>1</v>
      </c>
      <c r="U12" s="36">
        <v>0</v>
      </c>
      <c r="V12" s="50">
        <f t="shared" si="0"/>
        <v>0</v>
      </c>
      <c r="W12" s="36">
        <f>2+T12</f>
        <v>3</v>
      </c>
      <c r="X12" s="36">
        <f>2+U12</f>
        <v>2</v>
      </c>
      <c r="Y12" s="50">
        <f t="shared" si="1"/>
        <v>0.66666666666666663</v>
      </c>
      <c r="Z12" s="248" t="s">
        <v>467</v>
      </c>
      <c r="AA12" s="254" t="s">
        <v>468</v>
      </c>
      <c r="AB12" s="11"/>
      <c r="AC12" s="12"/>
      <c r="AD12" s="12"/>
      <c r="AE12" s="1"/>
    </row>
    <row r="13" spans="3:35" ht="150.75" customHeight="1" thickBot="1" x14ac:dyDescent="0.3">
      <c r="C13" s="886"/>
      <c r="D13" s="889"/>
      <c r="E13" s="892"/>
      <c r="F13" s="894"/>
      <c r="G13" s="832">
        <v>103</v>
      </c>
      <c r="H13" s="835" t="s">
        <v>43</v>
      </c>
      <c r="I13" s="895">
        <v>0.2</v>
      </c>
      <c r="J13" s="841" t="s">
        <v>44</v>
      </c>
      <c r="K13" s="908" t="s">
        <v>45</v>
      </c>
      <c r="L13" s="844" t="s">
        <v>24</v>
      </c>
      <c r="M13" s="847">
        <v>0.5</v>
      </c>
      <c r="N13" s="101" t="s">
        <v>106</v>
      </c>
      <c r="O13" s="33" t="s">
        <v>324</v>
      </c>
      <c r="P13" s="44" t="s">
        <v>108</v>
      </c>
      <c r="Q13" s="33" t="s">
        <v>329</v>
      </c>
      <c r="R13" s="49" t="s">
        <v>325</v>
      </c>
      <c r="S13" s="34" t="s">
        <v>42</v>
      </c>
      <c r="T13" s="36">
        <v>0</v>
      </c>
      <c r="U13" s="36">
        <v>0</v>
      </c>
      <c r="V13" s="50" t="e">
        <f t="shared" si="0"/>
        <v>#DIV/0!</v>
      </c>
      <c r="W13" s="36">
        <f>+T13</f>
        <v>0</v>
      </c>
      <c r="X13" s="36">
        <f>+U13</f>
        <v>0</v>
      </c>
      <c r="Y13" s="50" t="e">
        <f t="shared" si="1"/>
        <v>#DIV/0!</v>
      </c>
      <c r="Z13" s="248" t="s">
        <v>485</v>
      </c>
      <c r="AA13" s="927" t="s">
        <v>503</v>
      </c>
      <c r="AB13" s="11"/>
      <c r="AC13" s="12"/>
      <c r="AD13" s="12"/>
      <c r="AE13" s="76"/>
      <c r="AG13" s="77"/>
      <c r="AI13" s="77"/>
    </row>
    <row r="14" spans="3:35" ht="132" customHeight="1" thickBot="1" x14ac:dyDescent="0.3">
      <c r="C14" s="886"/>
      <c r="D14" s="889"/>
      <c r="E14" s="892"/>
      <c r="F14" s="894"/>
      <c r="G14" s="833"/>
      <c r="H14" s="836"/>
      <c r="I14" s="896"/>
      <c r="J14" s="843"/>
      <c r="K14" s="909"/>
      <c r="L14" s="846"/>
      <c r="M14" s="849"/>
      <c r="N14" s="848" t="s">
        <v>46</v>
      </c>
      <c r="O14" s="814" t="s">
        <v>47</v>
      </c>
      <c r="P14" s="337" t="s">
        <v>48</v>
      </c>
      <c r="Q14" s="339" t="s">
        <v>330</v>
      </c>
      <c r="R14" s="49" t="s">
        <v>310</v>
      </c>
      <c r="S14" s="34" t="s">
        <v>49</v>
      </c>
      <c r="T14" s="36">
        <v>21</v>
      </c>
      <c r="U14" s="36">
        <v>0</v>
      </c>
      <c r="V14" s="50">
        <f>+U14/T14</f>
        <v>0</v>
      </c>
      <c r="W14" s="36">
        <f>20+T14</f>
        <v>41</v>
      </c>
      <c r="X14" s="36">
        <f>+U14</f>
        <v>0</v>
      </c>
      <c r="Y14" s="50">
        <f>+X14/W14</f>
        <v>0</v>
      </c>
      <c r="Z14" s="930" t="s">
        <v>504</v>
      </c>
      <c r="AA14" s="928"/>
      <c r="AB14" s="11"/>
      <c r="AC14" s="12"/>
      <c r="AD14" s="12"/>
      <c r="AE14" s="76"/>
      <c r="AG14" s="77"/>
      <c r="AH14" s="77"/>
      <c r="AI14" s="77"/>
    </row>
    <row r="15" spans="3:35" ht="117" customHeight="1" thickBot="1" x14ac:dyDescent="0.3">
      <c r="C15" s="886"/>
      <c r="D15" s="889"/>
      <c r="E15" s="892"/>
      <c r="F15" s="894"/>
      <c r="G15" s="834"/>
      <c r="H15" s="837"/>
      <c r="I15" s="897"/>
      <c r="J15" s="324" t="s">
        <v>50</v>
      </c>
      <c r="K15" s="329" t="s">
        <v>287</v>
      </c>
      <c r="L15" s="334" t="s">
        <v>24</v>
      </c>
      <c r="M15" s="336">
        <v>0.5</v>
      </c>
      <c r="N15" s="849"/>
      <c r="O15" s="815"/>
      <c r="P15" s="44" t="s">
        <v>51</v>
      </c>
      <c r="Q15" s="33" t="s">
        <v>309</v>
      </c>
      <c r="R15" s="34" t="s">
        <v>311</v>
      </c>
      <c r="S15" s="34" t="s">
        <v>42</v>
      </c>
      <c r="T15" s="37">
        <v>950</v>
      </c>
      <c r="U15" s="36">
        <v>0</v>
      </c>
      <c r="V15" s="50">
        <f t="shared" si="0"/>
        <v>0</v>
      </c>
      <c r="W15" s="37">
        <f>900+T15</f>
        <v>1850</v>
      </c>
      <c r="X15" s="36">
        <f>+U15</f>
        <v>0</v>
      </c>
      <c r="Y15" s="50">
        <f t="shared" si="1"/>
        <v>0</v>
      </c>
      <c r="Z15" s="931"/>
      <c r="AA15" s="929"/>
      <c r="AB15" s="11"/>
      <c r="AC15" s="12"/>
      <c r="AD15" s="12"/>
      <c r="AE15" s="1"/>
    </row>
    <row r="16" spans="3:35" ht="108.75" customHeight="1" thickBot="1" x14ac:dyDescent="0.3">
      <c r="C16" s="886"/>
      <c r="D16" s="889"/>
      <c r="E16" s="850">
        <v>2</v>
      </c>
      <c r="F16" s="853" t="s">
        <v>52</v>
      </c>
      <c r="G16" s="878">
        <v>201</v>
      </c>
      <c r="H16" s="835" t="s">
        <v>283</v>
      </c>
      <c r="I16" s="868">
        <v>0.3</v>
      </c>
      <c r="J16" s="15" t="s">
        <v>53</v>
      </c>
      <c r="K16" s="47" t="s">
        <v>54</v>
      </c>
      <c r="L16" s="73" t="s">
        <v>24</v>
      </c>
      <c r="M16" s="44">
        <v>0.5</v>
      </c>
      <c r="N16" s="810" t="s">
        <v>55</v>
      </c>
      <c r="O16" s="813" t="s">
        <v>56</v>
      </c>
      <c r="P16" s="847" t="s">
        <v>57</v>
      </c>
      <c r="Q16" s="813" t="s">
        <v>351</v>
      </c>
      <c r="R16" s="858" t="s">
        <v>58</v>
      </c>
      <c r="S16" s="858" t="s">
        <v>42</v>
      </c>
      <c r="T16" s="865">
        <v>1</v>
      </c>
      <c r="U16" s="865">
        <v>1</v>
      </c>
      <c r="V16" s="769">
        <f t="shared" si="0"/>
        <v>1</v>
      </c>
      <c r="W16" s="865">
        <f>+T16</f>
        <v>1</v>
      </c>
      <c r="X16" s="865">
        <f>+U16</f>
        <v>1</v>
      </c>
      <c r="Y16" s="769">
        <f t="shared" si="1"/>
        <v>1</v>
      </c>
      <c r="Z16" s="830" t="s">
        <v>505</v>
      </c>
      <c r="AA16" s="927" t="s">
        <v>506</v>
      </c>
      <c r="AB16" s="11"/>
      <c r="AC16" s="12"/>
      <c r="AD16" s="13"/>
      <c r="AE16" s="1"/>
    </row>
    <row r="17" spans="3:33" ht="66" customHeight="1" thickBot="1" x14ac:dyDescent="0.3">
      <c r="C17" s="886"/>
      <c r="D17" s="889"/>
      <c r="E17" s="851"/>
      <c r="F17" s="854"/>
      <c r="G17" s="879"/>
      <c r="H17" s="837"/>
      <c r="I17" s="869"/>
      <c r="J17" s="16" t="s">
        <v>59</v>
      </c>
      <c r="K17" s="329" t="s">
        <v>60</v>
      </c>
      <c r="L17" s="74" t="s">
        <v>24</v>
      </c>
      <c r="M17" s="336">
        <v>0.5</v>
      </c>
      <c r="N17" s="811"/>
      <c r="O17" s="814"/>
      <c r="P17" s="848"/>
      <c r="Q17" s="814"/>
      <c r="R17" s="859"/>
      <c r="S17" s="859"/>
      <c r="T17" s="866"/>
      <c r="U17" s="866"/>
      <c r="V17" s="779"/>
      <c r="W17" s="866"/>
      <c r="X17" s="866"/>
      <c r="Y17" s="779"/>
      <c r="Z17" s="933"/>
      <c r="AA17" s="932"/>
      <c r="AB17" s="11"/>
      <c r="AC17" s="12"/>
      <c r="AD17" s="13"/>
      <c r="AE17" s="1"/>
    </row>
    <row r="18" spans="3:33" ht="54.75" customHeight="1" thickBot="1" x14ac:dyDescent="0.3">
      <c r="C18" s="886"/>
      <c r="D18" s="889"/>
      <c r="E18" s="851"/>
      <c r="F18" s="854"/>
      <c r="G18" s="878">
        <v>202</v>
      </c>
      <c r="H18" s="835" t="s">
        <v>281</v>
      </c>
      <c r="I18" s="868">
        <v>0.3</v>
      </c>
      <c r="J18" s="16" t="s">
        <v>61</v>
      </c>
      <c r="K18" s="329" t="s">
        <v>62</v>
      </c>
      <c r="L18" s="74" t="s">
        <v>24</v>
      </c>
      <c r="M18" s="336">
        <v>0.5</v>
      </c>
      <c r="N18" s="811"/>
      <c r="O18" s="814"/>
      <c r="P18" s="848"/>
      <c r="Q18" s="814"/>
      <c r="R18" s="859"/>
      <c r="S18" s="859"/>
      <c r="T18" s="866"/>
      <c r="U18" s="866"/>
      <c r="V18" s="779"/>
      <c r="W18" s="866"/>
      <c r="X18" s="866"/>
      <c r="Y18" s="779"/>
      <c r="Z18" s="933"/>
      <c r="AA18" s="932"/>
      <c r="AB18" s="11"/>
      <c r="AC18" s="12"/>
      <c r="AD18" s="13"/>
      <c r="AE18" s="1"/>
    </row>
    <row r="19" spans="3:33" ht="88.5" customHeight="1" thickBot="1" x14ac:dyDescent="0.3">
      <c r="C19" s="886"/>
      <c r="D19" s="889"/>
      <c r="E19" s="851"/>
      <c r="F19" s="854"/>
      <c r="G19" s="879"/>
      <c r="H19" s="837"/>
      <c r="I19" s="869"/>
      <c r="J19" s="15" t="s">
        <v>63</v>
      </c>
      <c r="K19" s="47" t="s">
        <v>64</v>
      </c>
      <c r="L19" s="73" t="s">
        <v>24</v>
      </c>
      <c r="M19" s="44">
        <v>0.5</v>
      </c>
      <c r="N19" s="811"/>
      <c r="O19" s="814"/>
      <c r="P19" s="848"/>
      <c r="Q19" s="814"/>
      <c r="R19" s="859"/>
      <c r="S19" s="859"/>
      <c r="T19" s="866"/>
      <c r="U19" s="866"/>
      <c r="V19" s="779"/>
      <c r="W19" s="866"/>
      <c r="X19" s="866"/>
      <c r="Y19" s="779"/>
      <c r="Z19" s="933"/>
      <c r="AA19" s="932"/>
      <c r="AB19" s="11"/>
      <c r="AC19" s="12"/>
      <c r="AD19" s="17"/>
      <c r="AE19" s="1"/>
    </row>
    <row r="20" spans="3:33" ht="66" customHeight="1" thickBot="1" x14ac:dyDescent="0.3">
      <c r="C20" s="886"/>
      <c r="D20" s="889"/>
      <c r="E20" s="851"/>
      <c r="F20" s="854"/>
      <c r="G20" s="878">
        <v>203</v>
      </c>
      <c r="H20" s="835" t="s">
        <v>282</v>
      </c>
      <c r="I20" s="868">
        <v>0.2</v>
      </c>
      <c r="J20" s="15" t="s">
        <v>65</v>
      </c>
      <c r="K20" s="47" t="s">
        <v>66</v>
      </c>
      <c r="L20" s="73" t="s">
        <v>24</v>
      </c>
      <c r="M20" s="44">
        <v>0.4</v>
      </c>
      <c r="N20" s="811"/>
      <c r="O20" s="814"/>
      <c r="P20" s="848"/>
      <c r="Q20" s="814"/>
      <c r="R20" s="859"/>
      <c r="S20" s="859"/>
      <c r="T20" s="866"/>
      <c r="U20" s="866"/>
      <c r="V20" s="779"/>
      <c r="W20" s="866"/>
      <c r="X20" s="866"/>
      <c r="Y20" s="779"/>
      <c r="Z20" s="933"/>
      <c r="AA20" s="932"/>
      <c r="AB20" s="11"/>
      <c r="AC20" s="12"/>
      <c r="AD20" s="12"/>
      <c r="AE20" s="1"/>
    </row>
    <row r="21" spans="3:33" ht="79.5" customHeight="1" thickBot="1" x14ac:dyDescent="0.3">
      <c r="C21" s="886"/>
      <c r="D21" s="889"/>
      <c r="E21" s="851"/>
      <c r="F21" s="854"/>
      <c r="G21" s="880"/>
      <c r="H21" s="836"/>
      <c r="I21" s="875"/>
      <c r="J21" s="15" t="s">
        <v>67</v>
      </c>
      <c r="K21" s="47" t="s">
        <v>68</v>
      </c>
      <c r="L21" s="73" t="s">
        <v>24</v>
      </c>
      <c r="M21" s="44">
        <v>0.3</v>
      </c>
      <c r="N21" s="811"/>
      <c r="O21" s="814"/>
      <c r="P21" s="848"/>
      <c r="Q21" s="814"/>
      <c r="R21" s="859"/>
      <c r="S21" s="859"/>
      <c r="T21" s="866"/>
      <c r="U21" s="866"/>
      <c r="V21" s="779"/>
      <c r="W21" s="866"/>
      <c r="X21" s="866"/>
      <c r="Y21" s="779"/>
      <c r="Z21" s="933"/>
      <c r="AA21" s="932"/>
      <c r="AB21" s="11"/>
      <c r="AC21" s="11"/>
      <c r="AD21" s="12"/>
      <c r="AE21" s="1"/>
    </row>
    <row r="22" spans="3:33" ht="86.25" customHeight="1" thickBot="1" x14ac:dyDescent="0.3">
      <c r="C22" s="886"/>
      <c r="D22" s="889"/>
      <c r="E22" s="852"/>
      <c r="F22" s="855"/>
      <c r="G22" s="879"/>
      <c r="H22" s="837"/>
      <c r="I22" s="869"/>
      <c r="J22" s="18" t="s">
        <v>67</v>
      </c>
      <c r="K22" s="48" t="s">
        <v>69</v>
      </c>
      <c r="L22" s="75" t="s">
        <v>24</v>
      </c>
      <c r="M22" s="45">
        <v>0.3</v>
      </c>
      <c r="N22" s="812"/>
      <c r="O22" s="815"/>
      <c r="P22" s="849"/>
      <c r="Q22" s="815"/>
      <c r="R22" s="860"/>
      <c r="S22" s="860"/>
      <c r="T22" s="867"/>
      <c r="U22" s="867"/>
      <c r="V22" s="770"/>
      <c r="W22" s="867"/>
      <c r="X22" s="867"/>
      <c r="Y22" s="770"/>
      <c r="Z22" s="831"/>
      <c r="AA22" s="819"/>
      <c r="AB22" s="11"/>
      <c r="AC22" s="11"/>
      <c r="AD22" s="11"/>
      <c r="AE22" s="1"/>
    </row>
    <row r="23" spans="3:33" ht="178.5" customHeight="1" thickBot="1" x14ac:dyDescent="0.3">
      <c r="C23" s="886"/>
      <c r="D23" s="889"/>
      <c r="E23" s="870">
        <v>3</v>
      </c>
      <c r="F23" s="854" t="s">
        <v>70</v>
      </c>
      <c r="G23" s="328">
        <v>301</v>
      </c>
      <c r="H23" s="330" t="s">
        <v>71</v>
      </c>
      <c r="I23" s="341">
        <v>0.1</v>
      </c>
      <c r="J23" s="19" t="s">
        <v>72</v>
      </c>
      <c r="K23" s="331" t="s">
        <v>288</v>
      </c>
      <c r="L23" s="73" t="s">
        <v>24</v>
      </c>
      <c r="M23" s="44">
        <v>1</v>
      </c>
      <c r="N23" s="45" t="s">
        <v>73</v>
      </c>
      <c r="O23" s="33" t="s">
        <v>74</v>
      </c>
      <c r="P23" s="44" t="s">
        <v>75</v>
      </c>
      <c r="Q23" s="33" t="s">
        <v>358</v>
      </c>
      <c r="R23" s="34" t="s">
        <v>76</v>
      </c>
      <c r="S23" s="34" t="s">
        <v>229</v>
      </c>
      <c r="T23" s="34">
        <v>0</v>
      </c>
      <c r="U23" s="34">
        <v>0</v>
      </c>
      <c r="V23" s="50" t="e">
        <f t="shared" si="0"/>
        <v>#DIV/0!</v>
      </c>
      <c r="W23" s="88">
        <v>0.3</v>
      </c>
      <c r="X23" s="88">
        <v>0.3</v>
      </c>
      <c r="Y23" s="50">
        <f t="shared" si="1"/>
        <v>1</v>
      </c>
      <c r="Z23" s="310" t="s">
        <v>482</v>
      </c>
      <c r="AA23" s="311" t="s">
        <v>481</v>
      </c>
      <c r="AB23" s="11"/>
      <c r="AC23" s="11"/>
      <c r="AD23" s="12"/>
      <c r="AE23" s="76"/>
    </row>
    <row r="24" spans="3:33" ht="409.5" customHeight="1" thickBot="1" x14ac:dyDescent="0.3">
      <c r="C24" s="886"/>
      <c r="D24" s="889"/>
      <c r="E24" s="870"/>
      <c r="F24" s="854"/>
      <c r="G24" s="832">
        <v>302</v>
      </c>
      <c r="H24" s="835" t="s">
        <v>78</v>
      </c>
      <c r="I24" s="868">
        <v>0.1</v>
      </c>
      <c r="J24" s="841" t="s">
        <v>79</v>
      </c>
      <c r="K24" s="871" t="s">
        <v>80</v>
      </c>
      <c r="L24" s="873" t="s">
        <v>81</v>
      </c>
      <c r="M24" s="810">
        <v>0.5</v>
      </c>
      <c r="N24" s="45" t="s">
        <v>82</v>
      </c>
      <c r="O24" s="38" t="s">
        <v>83</v>
      </c>
      <c r="P24" s="45" t="s">
        <v>84</v>
      </c>
      <c r="Q24" s="38" t="s">
        <v>85</v>
      </c>
      <c r="R24" s="35" t="s">
        <v>359</v>
      </c>
      <c r="S24" s="35" t="s">
        <v>77</v>
      </c>
      <c r="T24" s="78">
        <v>7.0000000000000007E-2</v>
      </c>
      <c r="U24" s="78">
        <v>0.09</v>
      </c>
      <c r="V24" s="50">
        <f t="shared" si="0"/>
        <v>1.2857142857142856</v>
      </c>
      <c r="W24" s="87">
        <f>63%+T24</f>
        <v>0.7</v>
      </c>
      <c r="X24" s="87">
        <f>60%+U24</f>
        <v>0.69</v>
      </c>
      <c r="Y24" s="50">
        <f t="shared" si="1"/>
        <v>0.98571428571428565</v>
      </c>
      <c r="Z24" s="257" t="s">
        <v>507</v>
      </c>
      <c r="AA24" s="258" t="s">
        <v>495</v>
      </c>
      <c r="AB24" s="11"/>
      <c r="AC24" s="11"/>
      <c r="AD24" s="11"/>
      <c r="AE24" s="1"/>
    </row>
    <row r="25" spans="3:33" ht="180.75" customHeight="1" thickBot="1" x14ac:dyDescent="0.3">
      <c r="C25" s="886"/>
      <c r="D25" s="889"/>
      <c r="E25" s="870"/>
      <c r="F25" s="854"/>
      <c r="G25" s="834"/>
      <c r="H25" s="837"/>
      <c r="I25" s="869"/>
      <c r="J25" s="843"/>
      <c r="K25" s="872"/>
      <c r="L25" s="874"/>
      <c r="M25" s="812"/>
      <c r="N25" s="45" t="s">
        <v>87</v>
      </c>
      <c r="O25" s="38" t="s">
        <v>88</v>
      </c>
      <c r="P25" s="45" t="s">
        <v>89</v>
      </c>
      <c r="Q25" s="38" t="s">
        <v>360</v>
      </c>
      <c r="R25" s="35" t="s">
        <v>86</v>
      </c>
      <c r="S25" s="35" t="s">
        <v>77</v>
      </c>
      <c r="T25" s="78">
        <v>0.27</v>
      </c>
      <c r="U25" s="35">
        <v>0</v>
      </c>
      <c r="V25" s="50">
        <f t="shared" si="0"/>
        <v>0</v>
      </c>
      <c r="W25" s="35">
        <f>13.2%+T25</f>
        <v>0.40200000000000002</v>
      </c>
      <c r="X25" s="35">
        <f>+U25</f>
        <v>0</v>
      </c>
      <c r="Y25" s="50">
        <f t="shared" si="1"/>
        <v>0</v>
      </c>
      <c r="Z25" s="257" t="s">
        <v>484</v>
      </c>
      <c r="AA25" s="254" t="s">
        <v>483</v>
      </c>
      <c r="AB25" s="11"/>
      <c r="AC25" s="11"/>
      <c r="AD25" s="11"/>
      <c r="AE25" s="1"/>
    </row>
    <row r="26" spans="3:33" ht="152.25" customHeight="1" thickBot="1" x14ac:dyDescent="0.3">
      <c r="C26" s="886"/>
      <c r="D26" s="889"/>
      <c r="E26" s="870"/>
      <c r="F26" s="854"/>
      <c r="G26" s="832">
        <v>303</v>
      </c>
      <c r="H26" s="835" t="s">
        <v>90</v>
      </c>
      <c r="I26" s="868">
        <v>0.3</v>
      </c>
      <c r="J26" s="841" t="s">
        <v>91</v>
      </c>
      <c r="K26" s="835" t="s">
        <v>289</v>
      </c>
      <c r="L26" s="844" t="s">
        <v>81</v>
      </c>
      <c r="M26" s="847">
        <v>1</v>
      </c>
      <c r="N26" s="810" t="s">
        <v>92</v>
      </c>
      <c r="O26" s="813" t="s">
        <v>93</v>
      </c>
      <c r="P26" s="44" t="s">
        <v>94</v>
      </c>
      <c r="Q26" s="33" t="s">
        <v>423</v>
      </c>
      <c r="R26" s="34" t="s">
        <v>95</v>
      </c>
      <c r="S26" s="34" t="s">
        <v>96</v>
      </c>
      <c r="T26" s="34">
        <v>0.7</v>
      </c>
      <c r="U26" s="79">
        <v>0.48530000000000001</v>
      </c>
      <c r="V26" s="50">
        <f t="shared" si="0"/>
        <v>0.69328571428571439</v>
      </c>
      <c r="W26" s="34">
        <v>0.7</v>
      </c>
      <c r="X26" s="79">
        <v>0.51139999999999997</v>
      </c>
      <c r="Y26" s="50">
        <f t="shared" si="1"/>
        <v>0.73057142857142854</v>
      </c>
      <c r="Z26" s="253" t="s">
        <v>508</v>
      </c>
      <c r="AA26" s="254" t="s">
        <v>494</v>
      </c>
      <c r="AB26" s="11"/>
      <c r="AC26" s="11"/>
      <c r="AD26" s="80" t="s">
        <v>299</v>
      </c>
      <c r="AE26" s="1"/>
    </row>
    <row r="27" spans="3:33" ht="156.75" customHeight="1" thickBot="1" x14ac:dyDescent="0.3">
      <c r="C27" s="886"/>
      <c r="D27" s="889"/>
      <c r="E27" s="870"/>
      <c r="F27" s="854"/>
      <c r="G27" s="833"/>
      <c r="H27" s="836"/>
      <c r="I27" s="875"/>
      <c r="J27" s="842"/>
      <c r="K27" s="836"/>
      <c r="L27" s="845"/>
      <c r="M27" s="848"/>
      <c r="N27" s="812"/>
      <c r="O27" s="815"/>
      <c r="P27" s="44" t="s">
        <v>97</v>
      </c>
      <c r="Q27" s="33" t="s">
        <v>353</v>
      </c>
      <c r="R27" s="34" t="s">
        <v>95</v>
      </c>
      <c r="S27" s="34" t="s">
        <v>96</v>
      </c>
      <c r="T27" s="34">
        <v>1</v>
      </c>
      <c r="U27" s="79">
        <v>0.62939999999999996</v>
      </c>
      <c r="V27" s="105">
        <f t="shared" si="0"/>
        <v>0.62939999999999996</v>
      </c>
      <c r="W27" s="34">
        <v>1</v>
      </c>
      <c r="X27" s="79">
        <v>0.75600000000000001</v>
      </c>
      <c r="Y27" s="50">
        <f t="shared" si="1"/>
        <v>0.75600000000000001</v>
      </c>
      <c r="Z27" s="253" t="s">
        <v>496</v>
      </c>
      <c r="AA27" s="254" t="s">
        <v>509</v>
      </c>
      <c r="AB27" s="11"/>
      <c r="AC27" s="11"/>
      <c r="AD27" s="12"/>
      <c r="AE27" s="318">
        <v>36767</v>
      </c>
      <c r="AF27" s="6">
        <v>23141</v>
      </c>
      <c r="AG27" s="319">
        <f>+AF27/AE27</f>
        <v>0.62939592569423664</v>
      </c>
    </row>
    <row r="28" spans="3:33" ht="143.25" customHeight="1" thickBot="1" x14ac:dyDescent="0.3">
      <c r="C28" s="886"/>
      <c r="D28" s="889"/>
      <c r="E28" s="870"/>
      <c r="F28" s="854"/>
      <c r="G28" s="833"/>
      <c r="H28" s="836"/>
      <c r="I28" s="875"/>
      <c r="J28" s="842"/>
      <c r="K28" s="836"/>
      <c r="L28" s="845"/>
      <c r="M28" s="848"/>
      <c r="N28" s="64" t="s">
        <v>98</v>
      </c>
      <c r="O28" s="33" t="s">
        <v>354</v>
      </c>
      <c r="P28" s="44" t="s">
        <v>99</v>
      </c>
      <c r="Q28" s="33" t="s">
        <v>100</v>
      </c>
      <c r="R28" s="34" t="s">
        <v>101</v>
      </c>
      <c r="S28" s="34" t="s">
        <v>42</v>
      </c>
      <c r="T28" s="36">
        <v>1</v>
      </c>
      <c r="U28" s="36">
        <v>0</v>
      </c>
      <c r="V28" s="50">
        <f t="shared" si="0"/>
        <v>0</v>
      </c>
      <c r="W28" s="36">
        <f>2+T28</f>
        <v>3</v>
      </c>
      <c r="X28" s="36">
        <f>1+U28</f>
        <v>1</v>
      </c>
      <c r="Y28" s="50">
        <f t="shared" si="1"/>
        <v>0.33333333333333331</v>
      </c>
      <c r="Z28" s="248" t="s">
        <v>510</v>
      </c>
      <c r="AA28" s="254" t="s">
        <v>497</v>
      </c>
      <c r="AB28" s="11"/>
      <c r="AC28" s="11"/>
      <c r="AD28" s="12"/>
      <c r="AE28" s="1"/>
    </row>
    <row r="29" spans="3:33" ht="349.5" customHeight="1" thickBot="1" x14ac:dyDescent="0.3">
      <c r="C29" s="886"/>
      <c r="D29" s="889"/>
      <c r="E29" s="870"/>
      <c r="F29" s="854"/>
      <c r="G29" s="833"/>
      <c r="H29" s="836"/>
      <c r="I29" s="875"/>
      <c r="J29" s="842"/>
      <c r="K29" s="836"/>
      <c r="L29" s="845"/>
      <c r="M29" s="848"/>
      <c r="N29" s="342" t="s">
        <v>102</v>
      </c>
      <c r="O29" s="339" t="s">
        <v>355</v>
      </c>
      <c r="P29" s="44" t="s">
        <v>103</v>
      </c>
      <c r="Q29" s="33" t="s">
        <v>104</v>
      </c>
      <c r="R29" s="34" t="s">
        <v>105</v>
      </c>
      <c r="S29" s="34" t="s">
        <v>42</v>
      </c>
      <c r="T29" s="36">
        <v>8</v>
      </c>
      <c r="U29" s="36">
        <v>18</v>
      </c>
      <c r="V29" s="50">
        <f t="shared" si="0"/>
        <v>2.25</v>
      </c>
      <c r="W29" s="36">
        <f>24+T29</f>
        <v>32</v>
      </c>
      <c r="X29" s="36">
        <f>10+U29</f>
        <v>28</v>
      </c>
      <c r="Y29" s="50">
        <f t="shared" si="1"/>
        <v>0.875</v>
      </c>
      <c r="Z29" s="248" t="s">
        <v>511</v>
      </c>
      <c r="AA29" s="315" t="s">
        <v>498</v>
      </c>
      <c r="AB29" s="11"/>
      <c r="AC29" s="11"/>
      <c r="AD29" s="12"/>
      <c r="AE29" s="1"/>
    </row>
    <row r="30" spans="3:33" ht="179.25" customHeight="1" thickBot="1" x14ac:dyDescent="0.3">
      <c r="C30" s="886"/>
      <c r="D30" s="889"/>
      <c r="E30" s="870"/>
      <c r="F30" s="854"/>
      <c r="G30" s="834"/>
      <c r="H30" s="837"/>
      <c r="I30" s="869"/>
      <c r="J30" s="843"/>
      <c r="K30" s="837"/>
      <c r="L30" s="846"/>
      <c r="M30" s="849"/>
      <c r="N30" s="45" t="s">
        <v>326</v>
      </c>
      <c r="O30" s="33" t="s">
        <v>107</v>
      </c>
      <c r="P30" s="44" t="s">
        <v>327</v>
      </c>
      <c r="Q30" s="33" t="s">
        <v>109</v>
      </c>
      <c r="R30" s="34" t="s">
        <v>328</v>
      </c>
      <c r="S30" s="34" t="s">
        <v>42</v>
      </c>
      <c r="T30" s="36">
        <v>0</v>
      </c>
      <c r="U30" s="36">
        <v>0</v>
      </c>
      <c r="V30" s="50" t="e">
        <f>+U30/T30</f>
        <v>#DIV/0!</v>
      </c>
      <c r="W30" s="36">
        <v>5</v>
      </c>
      <c r="X30" s="36">
        <f>+U30</f>
        <v>0</v>
      </c>
      <c r="Y30" s="50">
        <f t="shared" si="1"/>
        <v>0</v>
      </c>
      <c r="Z30" s="308" t="s">
        <v>472</v>
      </c>
      <c r="AA30" s="309" t="s">
        <v>293</v>
      </c>
      <c r="AB30" s="11"/>
      <c r="AC30" s="11"/>
      <c r="AD30" s="12"/>
      <c r="AE30" s="1"/>
    </row>
    <row r="31" spans="3:33" ht="203.25" customHeight="1" thickBot="1" x14ac:dyDescent="0.3">
      <c r="C31" s="886"/>
      <c r="D31" s="889"/>
      <c r="E31" s="870"/>
      <c r="F31" s="854"/>
      <c r="G31" s="832">
        <v>304</v>
      </c>
      <c r="H31" s="835" t="s">
        <v>110</v>
      </c>
      <c r="I31" s="838">
        <v>0.1</v>
      </c>
      <c r="J31" s="841" t="s">
        <v>111</v>
      </c>
      <c r="K31" s="835" t="s">
        <v>290</v>
      </c>
      <c r="L31" s="844" t="s">
        <v>81</v>
      </c>
      <c r="M31" s="847">
        <v>1</v>
      </c>
      <c r="N31" s="45" t="s">
        <v>112</v>
      </c>
      <c r="O31" s="33" t="s">
        <v>113</v>
      </c>
      <c r="P31" s="44" t="s">
        <v>114</v>
      </c>
      <c r="Q31" s="33" t="s">
        <v>115</v>
      </c>
      <c r="R31" s="34" t="s">
        <v>116</v>
      </c>
      <c r="S31" s="34" t="s">
        <v>42</v>
      </c>
      <c r="T31" s="36">
        <v>0</v>
      </c>
      <c r="U31" s="36">
        <v>0</v>
      </c>
      <c r="V31" s="50" t="e">
        <f t="shared" si="0"/>
        <v>#DIV/0!</v>
      </c>
      <c r="W31" s="36">
        <v>0</v>
      </c>
      <c r="X31" s="36">
        <v>0</v>
      </c>
      <c r="Y31" s="50" t="e">
        <f t="shared" si="1"/>
        <v>#DIV/0!</v>
      </c>
      <c r="Z31" s="248" t="s">
        <v>512</v>
      </c>
      <c r="AA31" s="254" t="s">
        <v>513</v>
      </c>
      <c r="AB31" s="11"/>
      <c r="AC31" s="11"/>
      <c r="AD31" s="12"/>
      <c r="AE31" s="1"/>
    </row>
    <row r="32" spans="3:33" ht="155.25" customHeight="1" thickBot="1" x14ac:dyDescent="0.3">
      <c r="C32" s="886"/>
      <c r="D32" s="889"/>
      <c r="E32" s="870"/>
      <c r="F32" s="854"/>
      <c r="G32" s="833"/>
      <c r="H32" s="836"/>
      <c r="I32" s="839"/>
      <c r="J32" s="842"/>
      <c r="K32" s="836"/>
      <c r="L32" s="845"/>
      <c r="M32" s="848"/>
      <c r="N32" s="810" t="s">
        <v>117</v>
      </c>
      <c r="O32" s="813" t="s">
        <v>118</v>
      </c>
      <c r="P32" s="44" t="s">
        <v>119</v>
      </c>
      <c r="Q32" s="33" t="s">
        <v>347</v>
      </c>
      <c r="R32" s="34" t="s">
        <v>348</v>
      </c>
      <c r="S32" s="34" t="s">
        <v>42</v>
      </c>
      <c r="T32" s="36">
        <v>0</v>
      </c>
      <c r="U32" s="36">
        <v>0</v>
      </c>
      <c r="V32" s="50" t="e">
        <f t="shared" si="0"/>
        <v>#DIV/0!</v>
      </c>
      <c r="W32" s="36">
        <v>1</v>
      </c>
      <c r="X32" s="36">
        <f>+U32</f>
        <v>0</v>
      </c>
      <c r="Y32" s="50">
        <f t="shared" si="1"/>
        <v>0</v>
      </c>
      <c r="Z32" s="248" t="s">
        <v>466</v>
      </c>
      <c r="AA32" s="254" t="s">
        <v>514</v>
      </c>
      <c r="AB32" s="11"/>
      <c r="AC32" s="11"/>
      <c r="AD32" s="12"/>
      <c r="AE32" s="1"/>
    </row>
    <row r="33" spans="3:33" ht="153" customHeight="1" thickBot="1" x14ac:dyDescent="0.3">
      <c r="C33" s="886"/>
      <c r="D33" s="889"/>
      <c r="E33" s="870"/>
      <c r="F33" s="854"/>
      <c r="G33" s="834"/>
      <c r="H33" s="837"/>
      <c r="I33" s="840"/>
      <c r="J33" s="843"/>
      <c r="K33" s="837"/>
      <c r="L33" s="846"/>
      <c r="M33" s="849"/>
      <c r="N33" s="812"/>
      <c r="O33" s="815"/>
      <c r="P33" s="44" t="s">
        <v>120</v>
      </c>
      <c r="Q33" s="33" t="s">
        <v>121</v>
      </c>
      <c r="R33" s="34" t="s">
        <v>349</v>
      </c>
      <c r="S33" s="34" t="s">
        <v>42</v>
      </c>
      <c r="T33" s="36">
        <v>0</v>
      </c>
      <c r="U33" s="36">
        <v>5</v>
      </c>
      <c r="V33" s="50">
        <v>1</v>
      </c>
      <c r="W33" s="36">
        <v>2</v>
      </c>
      <c r="X33" s="36">
        <f>+U33</f>
        <v>5</v>
      </c>
      <c r="Y33" s="50">
        <f t="shared" si="1"/>
        <v>2.5</v>
      </c>
      <c r="Z33" s="248" t="s">
        <v>487</v>
      </c>
      <c r="AA33" s="314" t="s">
        <v>515</v>
      </c>
      <c r="AB33" s="11"/>
      <c r="AC33" s="11"/>
      <c r="AD33" s="12"/>
      <c r="AE33" s="1"/>
    </row>
    <row r="34" spans="3:33" ht="121.5" customHeight="1" thickBot="1" x14ac:dyDescent="0.3">
      <c r="C34" s="886"/>
      <c r="D34" s="889"/>
      <c r="E34" s="870"/>
      <c r="F34" s="854"/>
      <c r="G34" s="832">
        <v>305</v>
      </c>
      <c r="H34" s="835" t="s">
        <v>122</v>
      </c>
      <c r="I34" s="839">
        <v>0.1</v>
      </c>
      <c r="J34" s="325" t="s">
        <v>123</v>
      </c>
      <c r="K34" s="330" t="s">
        <v>124</v>
      </c>
      <c r="L34" s="335" t="s">
        <v>81</v>
      </c>
      <c r="M34" s="338">
        <v>0.3</v>
      </c>
      <c r="N34" s="810" t="s">
        <v>125</v>
      </c>
      <c r="O34" s="858" t="s">
        <v>126</v>
      </c>
      <c r="P34" s="336" t="s">
        <v>127</v>
      </c>
      <c r="Q34" s="33" t="s">
        <v>356</v>
      </c>
      <c r="R34" s="34" t="s">
        <v>128</v>
      </c>
      <c r="S34" s="34" t="s">
        <v>42</v>
      </c>
      <c r="T34" s="36">
        <v>0</v>
      </c>
      <c r="U34" s="36">
        <v>1</v>
      </c>
      <c r="V34" s="50">
        <v>1</v>
      </c>
      <c r="W34" s="36">
        <v>4</v>
      </c>
      <c r="X34" s="36">
        <f>2+U34</f>
        <v>3</v>
      </c>
      <c r="Y34" s="50">
        <f t="shared" si="1"/>
        <v>0.75</v>
      </c>
      <c r="Z34" s="345" t="s">
        <v>500</v>
      </c>
      <c r="AA34" s="316" t="s">
        <v>292</v>
      </c>
      <c r="AB34" s="11"/>
      <c r="AC34" s="11"/>
      <c r="AD34" s="12"/>
      <c r="AE34" s="1"/>
    </row>
    <row r="35" spans="3:33" ht="291" customHeight="1" thickBot="1" x14ac:dyDescent="0.3">
      <c r="C35" s="886"/>
      <c r="D35" s="889"/>
      <c r="E35" s="870"/>
      <c r="F35" s="854"/>
      <c r="G35" s="833"/>
      <c r="H35" s="836"/>
      <c r="I35" s="839"/>
      <c r="J35" s="324" t="s">
        <v>129</v>
      </c>
      <c r="K35" s="329" t="s">
        <v>130</v>
      </c>
      <c r="L35" s="334" t="s">
        <v>81</v>
      </c>
      <c r="M35" s="336">
        <v>0.2</v>
      </c>
      <c r="N35" s="811"/>
      <c r="O35" s="859"/>
      <c r="P35" s="44" t="s">
        <v>131</v>
      </c>
      <c r="Q35" s="33" t="s">
        <v>132</v>
      </c>
      <c r="R35" s="34" t="s">
        <v>133</v>
      </c>
      <c r="S35" s="34" t="s">
        <v>42</v>
      </c>
      <c r="T35" s="36">
        <v>6</v>
      </c>
      <c r="U35" s="36">
        <v>6</v>
      </c>
      <c r="V35" s="50">
        <f t="shared" si="0"/>
        <v>1</v>
      </c>
      <c r="W35" s="36">
        <f>15+T35</f>
        <v>21</v>
      </c>
      <c r="X35" s="36">
        <f>3+U35</f>
        <v>9</v>
      </c>
      <c r="Y35" s="50">
        <f t="shared" si="1"/>
        <v>0.42857142857142855</v>
      </c>
      <c r="Z35" s="248" t="s">
        <v>516</v>
      </c>
      <c r="AA35" s="249" t="s">
        <v>292</v>
      </c>
      <c r="AB35" s="11"/>
      <c r="AC35" s="11"/>
      <c r="AD35" s="12"/>
      <c r="AE35" s="1"/>
    </row>
    <row r="36" spans="3:33" ht="409.5" customHeight="1" x14ac:dyDescent="0.25">
      <c r="C36" s="886"/>
      <c r="D36" s="889"/>
      <c r="E36" s="870"/>
      <c r="F36" s="854"/>
      <c r="G36" s="833"/>
      <c r="H36" s="836"/>
      <c r="I36" s="839"/>
      <c r="J36" s="841" t="s">
        <v>134</v>
      </c>
      <c r="K36" s="934" t="s">
        <v>135</v>
      </c>
      <c r="L36" s="844" t="s">
        <v>81</v>
      </c>
      <c r="M36" s="847">
        <v>0.2</v>
      </c>
      <c r="N36" s="811"/>
      <c r="O36" s="859"/>
      <c r="P36" s="847" t="s">
        <v>136</v>
      </c>
      <c r="Q36" s="858" t="s">
        <v>137</v>
      </c>
      <c r="R36" s="858" t="s">
        <v>137</v>
      </c>
      <c r="S36" s="858" t="s">
        <v>42</v>
      </c>
      <c r="T36" s="865">
        <v>50</v>
      </c>
      <c r="U36" s="865">
        <v>25</v>
      </c>
      <c r="V36" s="769">
        <f t="shared" si="0"/>
        <v>0.5</v>
      </c>
      <c r="W36" s="865">
        <f>132+T36</f>
        <v>182</v>
      </c>
      <c r="X36" s="865">
        <f>23+U36</f>
        <v>48</v>
      </c>
      <c r="Y36" s="769">
        <f t="shared" si="1"/>
        <v>0.26373626373626374</v>
      </c>
      <c r="Z36" s="345" t="s">
        <v>517</v>
      </c>
      <c r="AA36" s="313" t="s">
        <v>518</v>
      </c>
      <c r="AB36" s="11"/>
      <c r="AC36" s="11"/>
      <c r="AD36" s="12"/>
      <c r="AE36" s="1"/>
    </row>
    <row r="37" spans="3:33" ht="227.25" customHeight="1" thickBot="1" x14ac:dyDescent="0.3">
      <c r="C37" s="886"/>
      <c r="D37" s="889"/>
      <c r="E37" s="870"/>
      <c r="F37" s="854"/>
      <c r="G37" s="833"/>
      <c r="H37" s="836"/>
      <c r="I37" s="839"/>
      <c r="J37" s="843"/>
      <c r="K37" s="935"/>
      <c r="L37" s="846"/>
      <c r="M37" s="849"/>
      <c r="N37" s="812"/>
      <c r="O37" s="860"/>
      <c r="P37" s="849"/>
      <c r="Q37" s="860"/>
      <c r="R37" s="860"/>
      <c r="S37" s="860"/>
      <c r="T37" s="867"/>
      <c r="U37" s="867"/>
      <c r="V37" s="770"/>
      <c r="W37" s="867"/>
      <c r="X37" s="867"/>
      <c r="Y37" s="770"/>
      <c r="Z37" s="346" t="s">
        <v>499</v>
      </c>
      <c r="AA37" s="320" t="s">
        <v>519</v>
      </c>
      <c r="AB37" s="11"/>
      <c r="AC37" s="11"/>
      <c r="AD37" s="12"/>
      <c r="AE37" s="1"/>
    </row>
    <row r="38" spans="3:33" ht="255.75" customHeight="1" thickBot="1" x14ac:dyDescent="0.3">
      <c r="C38" s="886"/>
      <c r="D38" s="889"/>
      <c r="E38" s="870"/>
      <c r="F38" s="854"/>
      <c r="G38" s="834"/>
      <c r="H38" s="837"/>
      <c r="I38" s="840"/>
      <c r="J38" s="14" t="s">
        <v>138</v>
      </c>
      <c r="K38" s="329" t="s">
        <v>139</v>
      </c>
      <c r="L38" s="72" t="s">
        <v>81</v>
      </c>
      <c r="M38" s="336">
        <v>0.3</v>
      </c>
      <c r="N38" s="342" t="s">
        <v>140</v>
      </c>
      <c r="O38" s="339" t="s">
        <v>141</v>
      </c>
      <c r="P38" s="337" t="s">
        <v>142</v>
      </c>
      <c r="Q38" s="33" t="s">
        <v>357</v>
      </c>
      <c r="R38" s="34" t="s">
        <v>143</v>
      </c>
      <c r="S38" s="34" t="s">
        <v>42</v>
      </c>
      <c r="T38" s="36">
        <v>0</v>
      </c>
      <c r="U38" s="36">
        <v>0</v>
      </c>
      <c r="V38" s="50" t="e">
        <f t="shared" si="0"/>
        <v>#DIV/0!</v>
      </c>
      <c r="W38" s="36">
        <v>1</v>
      </c>
      <c r="X38" s="36">
        <f>+U38</f>
        <v>0</v>
      </c>
      <c r="Y38" s="50">
        <f t="shared" si="1"/>
        <v>0</v>
      </c>
      <c r="Z38" s="248" t="s">
        <v>520</v>
      </c>
      <c r="AA38" s="254" t="s">
        <v>521</v>
      </c>
      <c r="AB38" s="11"/>
      <c r="AC38" s="11"/>
      <c r="AD38" s="12"/>
      <c r="AE38" s="1"/>
    </row>
    <row r="39" spans="3:33" ht="62.25" customHeight="1" thickBot="1" x14ac:dyDescent="0.3">
      <c r="C39" s="886"/>
      <c r="D39" s="889"/>
      <c r="E39" s="870"/>
      <c r="F39" s="854"/>
      <c r="G39" s="832">
        <v>306</v>
      </c>
      <c r="H39" s="835" t="s">
        <v>284</v>
      </c>
      <c r="I39" s="838">
        <v>0.05</v>
      </c>
      <c r="J39" s="324" t="s">
        <v>144</v>
      </c>
      <c r="K39" s="329" t="s">
        <v>145</v>
      </c>
      <c r="L39" s="72" t="s">
        <v>81</v>
      </c>
      <c r="M39" s="336">
        <v>0.35</v>
      </c>
      <c r="N39" s="810" t="s">
        <v>146</v>
      </c>
      <c r="O39" s="813" t="s">
        <v>147</v>
      </c>
      <c r="P39" s="847" t="s">
        <v>148</v>
      </c>
      <c r="Q39" s="813" t="s">
        <v>149</v>
      </c>
      <c r="R39" s="858" t="s">
        <v>150</v>
      </c>
      <c r="S39" s="858" t="s">
        <v>42</v>
      </c>
      <c r="T39" s="865">
        <v>1</v>
      </c>
      <c r="U39" s="865">
        <v>0</v>
      </c>
      <c r="V39" s="769">
        <f t="shared" si="0"/>
        <v>0</v>
      </c>
      <c r="W39" s="865">
        <f>1+T39</f>
        <v>2</v>
      </c>
      <c r="X39" s="865">
        <f>+U39</f>
        <v>0</v>
      </c>
      <c r="Y39" s="769">
        <f t="shared" si="1"/>
        <v>0</v>
      </c>
      <c r="Z39" s="830" t="s">
        <v>522</v>
      </c>
      <c r="AA39" s="928" t="s">
        <v>523</v>
      </c>
      <c r="AB39" s="11"/>
      <c r="AC39" s="11"/>
      <c r="AD39" s="12"/>
      <c r="AE39" s="1"/>
    </row>
    <row r="40" spans="3:33" ht="64.5" customHeight="1" thickBot="1" x14ac:dyDescent="0.3">
      <c r="C40" s="886"/>
      <c r="D40" s="889"/>
      <c r="E40" s="870"/>
      <c r="F40" s="854"/>
      <c r="G40" s="833"/>
      <c r="H40" s="836"/>
      <c r="I40" s="839"/>
      <c r="J40" s="14" t="s">
        <v>151</v>
      </c>
      <c r="K40" s="47" t="s">
        <v>152</v>
      </c>
      <c r="L40" s="72" t="s">
        <v>81</v>
      </c>
      <c r="M40" s="44">
        <v>0.35</v>
      </c>
      <c r="N40" s="811"/>
      <c r="O40" s="814"/>
      <c r="P40" s="848"/>
      <c r="Q40" s="814"/>
      <c r="R40" s="859"/>
      <c r="S40" s="859"/>
      <c r="T40" s="866"/>
      <c r="U40" s="866"/>
      <c r="V40" s="779"/>
      <c r="W40" s="866"/>
      <c r="X40" s="866"/>
      <c r="Y40" s="779"/>
      <c r="Z40" s="933"/>
      <c r="AA40" s="928"/>
      <c r="AB40" s="11"/>
      <c r="AC40" s="11"/>
      <c r="AD40" s="12"/>
      <c r="AE40" s="1"/>
    </row>
    <row r="41" spans="3:33" ht="98.25" customHeight="1" thickBot="1" x14ac:dyDescent="0.3">
      <c r="C41" s="886"/>
      <c r="D41" s="889"/>
      <c r="E41" s="870"/>
      <c r="F41" s="854"/>
      <c r="G41" s="834"/>
      <c r="H41" s="837"/>
      <c r="I41" s="840"/>
      <c r="J41" s="326" t="s">
        <v>153</v>
      </c>
      <c r="K41" s="331" t="s">
        <v>154</v>
      </c>
      <c r="L41" s="335" t="s">
        <v>81</v>
      </c>
      <c r="M41" s="337">
        <v>0.3</v>
      </c>
      <c r="N41" s="812"/>
      <c r="O41" s="815"/>
      <c r="P41" s="849"/>
      <c r="Q41" s="815"/>
      <c r="R41" s="860"/>
      <c r="S41" s="860"/>
      <c r="T41" s="867"/>
      <c r="U41" s="867"/>
      <c r="V41" s="770"/>
      <c r="W41" s="867"/>
      <c r="X41" s="867"/>
      <c r="Y41" s="770"/>
      <c r="Z41" s="831"/>
      <c r="AA41" s="929"/>
      <c r="AB41" s="11"/>
      <c r="AC41" s="11"/>
      <c r="AD41" s="12"/>
      <c r="AE41" s="1"/>
    </row>
    <row r="42" spans="3:33" ht="390" customHeight="1" thickBot="1" x14ac:dyDescent="0.3">
      <c r="C42" s="886"/>
      <c r="D42" s="889"/>
      <c r="E42" s="870"/>
      <c r="F42" s="854"/>
      <c r="G42" s="832">
        <v>307</v>
      </c>
      <c r="H42" s="835" t="s">
        <v>285</v>
      </c>
      <c r="I42" s="838">
        <v>0.1</v>
      </c>
      <c r="J42" s="102" t="s">
        <v>155</v>
      </c>
      <c r="K42" s="103" t="s">
        <v>156</v>
      </c>
      <c r="L42" s="104" t="s">
        <v>81</v>
      </c>
      <c r="M42" s="101">
        <v>0.5</v>
      </c>
      <c r="N42" s="45" t="s">
        <v>160</v>
      </c>
      <c r="O42" s="33" t="s">
        <v>346</v>
      </c>
      <c r="P42" s="45" t="s">
        <v>161</v>
      </c>
      <c r="Q42" s="33" t="s">
        <v>162</v>
      </c>
      <c r="R42" s="34" t="s">
        <v>163</v>
      </c>
      <c r="S42" s="34" t="s">
        <v>164</v>
      </c>
      <c r="T42" s="90">
        <v>0.08</v>
      </c>
      <c r="U42" s="39">
        <f>44%+18.6%+12%</f>
        <v>0.746</v>
      </c>
      <c r="V42" s="105">
        <f t="shared" si="0"/>
        <v>9.3249999999999993</v>
      </c>
      <c r="W42" s="89">
        <f>62.6%+T42</f>
        <v>0.70599999999999996</v>
      </c>
      <c r="X42" s="89">
        <f>+U42</f>
        <v>0.746</v>
      </c>
      <c r="Y42" s="50">
        <f t="shared" si="1"/>
        <v>1.0566572237960341</v>
      </c>
      <c r="Z42" s="248" t="s">
        <v>524</v>
      </c>
      <c r="AA42" s="350" t="s">
        <v>525</v>
      </c>
      <c r="AB42" s="11"/>
      <c r="AC42" s="11"/>
      <c r="AD42" s="12"/>
      <c r="AE42" s="1"/>
    </row>
    <row r="43" spans="3:33" ht="114.75" customHeight="1" thickBot="1" x14ac:dyDescent="0.3">
      <c r="C43" s="886"/>
      <c r="D43" s="889"/>
      <c r="E43" s="870"/>
      <c r="F43" s="854"/>
      <c r="G43" s="833"/>
      <c r="H43" s="836"/>
      <c r="I43" s="839"/>
      <c r="J43" s="841" t="s">
        <v>165</v>
      </c>
      <c r="K43" s="835" t="s">
        <v>291</v>
      </c>
      <c r="L43" s="844" t="s">
        <v>81</v>
      </c>
      <c r="M43" s="847">
        <v>0.5</v>
      </c>
      <c r="N43" s="342" t="s">
        <v>157</v>
      </c>
      <c r="O43" s="339" t="s">
        <v>344</v>
      </c>
      <c r="P43" s="44" t="s">
        <v>158</v>
      </c>
      <c r="Q43" s="33" t="s">
        <v>345</v>
      </c>
      <c r="R43" s="34" t="s">
        <v>159</v>
      </c>
      <c r="S43" s="34" t="s">
        <v>42</v>
      </c>
      <c r="T43" s="36">
        <v>0</v>
      </c>
      <c r="U43" s="36">
        <v>1</v>
      </c>
      <c r="V43" s="50">
        <v>1</v>
      </c>
      <c r="W43" s="40">
        <v>0</v>
      </c>
      <c r="X43" s="40">
        <f>+U43</f>
        <v>1</v>
      </c>
      <c r="Y43" s="50">
        <v>1</v>
      </c>
      <c r="Z43" s="253" t="s">
        <v>526</v>
      </c>
      <c r="AA43" s="249" t="s">
        <v>294</v>
      </c>
      <c r="AB43" s="11"/>
      <c r="AC43" s="11"/>
      <c r="AD43" s="12"/>
      <c r="AE43" s="1"/>
    </row>
    <row r="44" spans="3:33" ht="130.5" customHeight="1" thickBot="1" x14ac:dyDescent="0.3">
      <c r="C44" s="886"/>
      <c r="D44" s="889"/>
      <c r="E44" s="870"/>
      <c r="F44" s="854"/>
      <c r="G44" s="833"/>
      <c r="H44" s="836"/>
      <c r="I44" s="839"/>
      <c r="J44" s="842"/>
      <c r="K44" s="836"/>
      <c r="L44" s="845"/>
      <c r="M44" s="848"/>
      <c r="N44" s="810" t="s">
        <v>166</v>
      </c>
      <c r="O44" s="813" t="s">
        <v>167</v>
      </c>
      <c r="P44" s="44" t="s">
        <v>168</v>
      </c>
      <c r="Q44" s="33" t="s">
        <v>350</v>
      </c>
      <c r="R44" s="34" t="s">
        <v>169</v>
      </c>
      <c r="S44" s="34" t="s">
        <v>42</v>
      </c>
      <c r="T44" s="36">
        <v>0</v>
      </c>
      <c r="U44" s="36">
        <v>0</v>
      </c>
      <c r="V44" s="50" t="e">
        <f t="shared" si="0"/>
        <v>#DIV/0!</v>
      </c>
      <c r="W44" s="36">
        <v>1</v>
      </c>
      <c r="X44" s="36">
        <f>+U44</f>
        <v>0</v>
      </c>
      <c r="Y44" s="50">
        <f t="shared" si="1"/>
        <v>0</v>
      </c>
      <c r="Z44" s="248" t="s">
        <v>466</v>
      </c>
      <c r="AA44" s="351" t="s">
        <v>488</v>
      </c>
      <c r="AB44" s="11"/>
      <c r="AC44" s="11"/>
      <c r="AD44" s="12"/>
      <c r="AE44" s="1"/>
    </row>
    <row r="45" spans="3:33" ht="188.25" customHeight="1" thickBot="1" x14ac:dyDescent="0.3">
      <c r="C45" s="886"/>
      <c r="D45" s="889"/>
      <c r="E45" s="327"/>
      <c r="F45" s="321"/>
      <c r="G45" s="834"/>
      <c r="H45" s="837"/>
      <c r="I45" s="840"/>
      <c r="J45" s="843"/>
      <c r="K45" s="837"/>
      <c r="L45" s="846"/>
      <c r="M45" s="849"/>
      <c r="N45" s="812"/>
      <c r="O45" s="815"/>
      <c r="P45" s="44" t="s">
        <v>170</v>
      </c>
      <c r="Q45" s="33" t="s">
        <v>171</v>
      </c>
      <c r="R45" s="34" t="s">
        <v>169</v>
      </c>
      <c r="S45" s="34" t="s">
        <v>42</v>
      </c>
      <c r="T45" s="36">
        <v>0</v>
      </c>
      <c r="U45" s="36">
        <v>0</v>
      </c>
      <c r="V45" s="50" t="e">
        <f t="shared" si="0"/>
        <v>#DIV/0!</v>
      </c>
      <c r="W45" s="36">
        <v>1</v>
      </c>
      <c r="X45" s="36">
        <v>1</v>
      </c>
      <c r="Y45" s="50">
        <f t="shared" si="1"/>
        <v>1</v>
      </c>
      <c r="Z45" s="346" t="s">
        <v>466</v>
      </c>
      <c r="AA45" s="262" t="s">
        <v>292</v>
      </c>
      <c r="AB45" s="11"/>
      <c r="AC45" s="11"/>
      <c r="AD45" s="12"/>
      <c r="AE45" s="1"/>
    </row>
    <row r="46" spans="3:33" ht="208.5" customHeight="1" thickBot="1" x14ac:dyDescent="0.3">
      <c r="C46" s="886"/>
      <c r="D46" s="889"/>
      <c r="E46" s="327"/>
      <c r="F46" s="321"/>
      <c r="G46" s="832">
        <v>308</v>
      </c>
      <c r="H46" s="835" t="s">
        <v>172</v>
      </c>
      <c r="I46" s="838">
        <v>0.1</v>
      </c>
      <c r="J46" s="324" t="s">
        <v>173</v>
      </c>
      <c r="K46" s="329" t="s">
        <v>174</v>
      </c>
      <c r="L46" s="334" t="s">
        <v>81</v>
      </c>
      <c r="M46" s="336">
        <v>0.5</v>
      </c>
      <c r="N46" s="810" t="s">
        <v>175</v>
      </c>
      <c r="O46" s="813" t="s">
        <v>312</v>
      </c>
      <c r="P46" s="44" t="s">
        <v>180</v>
      </c>
      <c r="Q46" s="33" t="s">
        <v>316</v>
      </c>
      <c r="R46" s="34" t="s">
        <v>314</v>
      </c>
      <c r="S46" s="34" t="s">
        <v>164</v>
      </c>
      <c r="T46" s="88">
        <v>0.45500000000000002</v>
      </c>
      <c r="U46" s="88">
        <v>0</v>
      </c>
      <c r="V46" s="50">
        <f t="shared" si="0"/>
        <v>0</v>
      </c>
      <c r="W46" s="90">
        <f>54.5%+T46</f>
        <v>1</v>
      </c>
      <c r="X46" s="90">
        <f>14%+U46</f>
        <v>0.14000000000000001</v>
      </c>
      <c r="Y46" s="50">
        <f t="shared" si="1"/>
        <v>0.14000000000000001</v>
      </c>
      <c r="Z46" s="253" t="s">
        <v>527</v>
      </c>
      <c r="AA46" s="254" t="s">
        <v>528</v>
      </c>
      <c r="AB46" s="11"/>
      <c r="AC46" s="11"/>
      <c r="AD46" s="13"/>
      <c r="AE46" s="1"/>
      <c r="AF46" s="77"/>
      <c r="AG46" s="77"/>
    </row>
    <row r="47" spans="3:33" ht="138" customHeight="1" thickBot="1" x14ac:dyDescent="0.3">
      <c r="C47" s="886"/>
      <c r="D47" s="889"/>
      <c r="E47" s="327"/>
      <c r="F47" s="321"/>
      <c r="G47" s="833"/>
      <c r="H47" s="836"/>
      <c r="I47" s="839"/>
      <c r="J47" s="841" t="s">
        <v>177</v>
      </c>
      <c r="K47" s="835" t="s">
        <v>178</v>
      </c>
      <c r="L47" s="844" t="s">
        <v>81</v>
      </c>
      <c r="M47" s="847">
        <v>0.5</v>
      </c>
      <c r="N47" s="811"/>
      <c r="O47" s="814"/>
      <c r="P47" s="44" t="s">
        <v>179</v>
      </c>
      <c r="Q47" s="33" t="s">
        <v>313</v>
      </c>
      <c r="R47" s="34" t="s">
        <v>314</v>
      </c>
      <c r="S47" s="34" t="s">
        <v>164</v>
      </c>
      <c r="T47" s="89">
        <v>0</v>
      </c>
      <c r="U47" s="89">
        <v>0</v>
      </c>
      <c r="V47" s="50" t="e">
        <f t="shared" si="0"/>
        <v>#DIV/0!</v>
      </c>
      <c r="W47" s="39">
        <v>1</v>
      </c>
      <c r="X47" s="39">
        <v>1</v>
      </c>
      <c r="Y47" s="50">
        <f t="shared" si="1"/>
        <v>1</v>
      </c>
      <c r="Z47" s="248" t="s">
        <v>469</v>
      </c>
      <c r="AA47" s="927" t="s">
        <v>529</v>
      </c>
      <c r="AB47" s="11"/>
      <c r="AC47" s="11"/>
      <c r="AD47" s="13"/>
      <c r="AE47" s="1"/>
    </row>
    <row r="48" spans="3:33" ht="141.75" customHeight="1" thickBot="1" x14ac:dyDescent="0.3">
      <c r="C48" s="886"/>
      <c r="D48" s="889"/>
      <c r="E48" s="327"/>
      <c r="F48" s="321"/>
      <c r="G48" s="833"/>
      <c r="H48" s="836"/>
      <c r="I48" s="839"/>
      <c r="J48" s="842"/>
      <c r="K48" s="836"/>
      <c r="L48" s="845"/>
      <c r="M48" s="848"/>
      <c r="N48" s="811"/>
      <c r="O48" s="814"/>
      <c r="P48" s="44" t="s">
        <v>176</v>
      </c>
      <c r="Q48" s="33" t="s">
        <v>315</v>
      </c>
      <c r="R48" s="34" t="s">
        <v>314</v>
      </c>
      <c r="S48" s="34" t="s">
        <v>164</v>
      </c>
      <c r="T48" s="34">
        <v>0</v>
      </c>
      <c r="U48" s="88">
        <v>0</v>
      </c>
      <c r="V48" s="50" t="e">
        <f t="shared" si="0"/>
        <v>#DIV/0!</v>
      </c>
      <c r="W48" s="34">
        <v>1</v>
      </c>
      <c r="X48" s="34">
        <v>1</v>
      </c>
      <c r="Y48" s="50">
        <f t="shared" si="1"/>
        <v>1</v>
      </c>
      <c r="Z48" s="346" t="s">
        <v>469</v>
      </c>
      <c r="AA48" s="929"/>
      <c r="AB48" s="11"/>
      <c r="AC48" s="11"/>
      <c r="AD48" s="12"/>
      <c r="AE48" s="1"/>
    </row>
    <row r="49" spans="3:31" ht="155.25" customHeight="1" thickBot="1" x14ac:dyDescent="0.3">
      <c r="C49" s="886"/>
      <c r="D49" s="889"/>
      <c r="E49" s="327"/>
      <c r="F49" s="321"/>
      <c r="G49" s="833"/>
      <c r="H49" s="836"/>
      <c r="I49" s="839"/>
      <c r="J49" s="842"/>
      <c r="K49" s="836"/>
      <c r="L49" s="845"/>
      <c r="M49" s="848"/>
      <c r="N49" s="811"/>
      <c r="O49" s="814"/>
      <c r="P49" s="44" t="s">
        <v>183</v>
      </c>
      <c r="Q49" s="339" t="s">
        <v>181</v>
      </c>
      <c r="R49" s="340" t="s">
        <v>317</v>
      </c>
      <c r="S49" s="340" t="s">
        <v>182</v>
      </c>
      <c r="T49" s="340">
        <v>1</v>
      </c>
      <c r="U49" s="340">
        <v>1</v>
      </c>
      <c r="V49" s="50">
        <f>+U49/T49</f>
        <v>1</v>
      </c>
      <c r="W49" s="340">
        <v>1</v>
      </c>
      <c r="X49" s="340">
        <v>1</v>
      </c>
      <c r="Y49" s="50">
        <f>+X49/W49</f>
        <v>1</v>
      </c>
      <c r="Z49" s="347" t="s">
        <v>381</v>
      </c>
      <c r="AA49" s="262" t="s">
        <v>366</v>
      </c>
      <c r="AB49" s="11"/>
      <c r="AC49" s="11"/>
      <c r="AD49" s="12"/>
      <c r="AE49" s="1"/>
    </row>
    <row r="50" spans="3:31" ht="155.25" customHeight="1" thickBot="1" x14ac:dyDescent="0.3">
      <c r="C50" s="886"/>
      <c r="D50" s="889"/>
      <c r="E50" s="327"/>
      <c r="F50" s="321"/>
      <c r="G50" s="833"/>
      <c r="H50" s="836"/>
      <c r="I50" s="839"/>
      <c r="J50" s="842"/>
      <c r="K50" s="836"/>
      <c r="L50" s="845"/>
      <c r="M50" s="848"/>
      <c r="N50" s="812"/>
      <c r="O50" s="815"/>
      <c r="P50" s="337" t="s">
        <v>318</v>
      </c>
      <c r="Q50" s="339" t="s">
        <v>184</v>
      </c>
      <c r="R50" s="340" t="s">
        <v>319</v>
      </c>
      <c r="S50" s="340" t="s">
        <v>182</v>
      </c>
      <c r="T50" s="340">
        <v>1</v>
      </c>
      <c r="U50" s="340">
        <v>1</v>
      </c>
      <c r="V50" s="50">
        <f>+U50/T50</f>
        <v>1</v>
      </c>
      <c r="W50" s="340">
        <v>1</v>
      </c>
      <c r="X50" s="340">
        <v>1</v>
      </c>
      <c r="Y50" s="50">
        <f>+X50/W50</f>
        <v>1</v>
      </c>
      <c r="Z50" s="347" t="s">
        <v>470</v>
      </c>
      <c r="AA50" s="262" t="s">
        <v>292</v>
      </c>
      <c r="AB50" s="11"/>
      <c r="AC50" s="11"/>
      <c r="AD50" s="12"/>
      <c r="AE50" s="1"/>
    </row>
    <row r="51" spans="3:31" ht="181.5" customHeight="1" thickBot="1" x14ac:dyDescent="0.3">
      <c r="C51" s="886"/>
      <c r="D51" s="889"/>
      <c r="E51" s="327"/>
      <c r="F51" s="321"/>
      <c r="G51" s="833"/>
      <c r="H51" s="836"/>
      <c r="I51" s="839"/>
      <c r="J51" s="842"/>
      <c r="K51" s="836"/>
      <c r="L51" s="845"/>
      <c r="M51" s="848"/>
      <c r="N51" s="342" t="s">
        <v>185</v>
      </c>
      <c r="O51" s="339" t="s">
        <v>186</v>
      </c>
      <c r="P51" s="337" t="s">
        <v>187</v>
      </c>
      <c r="Q51" s="339" t="s">
        <v>320</v>
      </c>
      <c r="R51" s="340" t="s">
        <v>314</v>
      </c>
      <c r="S51" s="340" t="s">
        <v>164</v>
      </c>
      <c r="T51" s="352">
        <v>0</v>
      </c>
      <c r="U51" s="352">
        <v>0</v>
      </c>
      <c r="V51" s="50" t="e">
        <f>+U51/T51</f>
        <v>#DIV/0!</v>
      </c>
      <c r="W51" s="106">
        <v>1</v>
      </c>
      <c r="X51" s="106">
        <v>1</v>
      </c>
      <c r="Y51" s="50">
        <f t="shared" si="1"/>
        <v>1</v>
      </c>
      <c r="Z51" s="346" t="s">
        <v>469</v>
      </c>
      <c r="AA51" s="351" t="s">
        <v>471</v>
      </c>
      <c r="AB51" s="11"/>
      <c r="AC51" s="11"/>
      <c r="AD51" s="12"/>
      <c r="AE51" s="1"/>
    </row>
    <row r="52" spans="3:31" ht="189.75" customHeight="1" thickBot="1" x14ac:dyDescent="0.3">
      <c r="C52" s="886"/>
      <c r="D52" s="889"/>
      <c r="E52" s="327"/>
      <c r="F52" s="321"/>
      <c r="G52" s="833"/>
      <c r="H52" s="836"/>
      <c r="I52" s="839"/>
      <c r="J52" s="842"/>
      <c r="K52" s="836"/>
      <c r="L52" s="845"/>
      <c r="M52" s="848"/>
      <c r="N52" s="45" t="s">
        <v>188</v>
      </c>
      <c r="O52" s="33" t="s">
        <v>321</v>
      </c>
      <c r="P52" s="44" t="s">
        <v>189</v>
      </c>
      <c r="Q52" s="33" t="s">
        <v>378</v>
      </c>
      <c r="R52" s="34" t="s">
        <v>314</v>
      </c>
      <c r="S52" s="34" t="s">
        <v>164</v>
      </c>
      <c r="T52" s="39">
        <v>0</v>
      </c>
      <c r="U52" s="39">
        <v>0</v>
      </c>
      <c r="V52" s="50" t="e">
        <f t="shared" si="0"/>
        <v>#DIV/0!</v>
      </c>
      <c r="W52" s="89">
        <v>1</v>
      </c>
      <c r="X52" s="89">
        <f>+U52</f>
        <v>0</v>
      </c>
      <c r="Y52" s="50">
        <f t="shared" si="1"/>
        <v>0</v>
      </c>
      <c r="Z52" s="248" t="s">
        <v>490</v>
      </c>
      <c r="AA52" s="107"/>
      <c r="AB52" s="11"/>
      <c r="AC52" s="11"/>
      <c r="AD52" s="12"/>
      <c r="AE52" s="1"/>
    </row>
    <row r="53" spans="3:31" ht="242.25" customHeight="1" thickBot="1" x14ac:dyDescent="0.3">
      <c r="C53" s="886"/>
      <c r="D53" s="889"/>
      <c r="E53" s="327"/>
      <c r="F53" s="321"/>
      <c r="G53" s="834"/>
      <c r="H53" s="837"/>
      <c r="I53" s="840"/>
      <c r="J53" s="843"/>
      <c r="K53" s="837"/>
      <c r="L53" s="846"/>
      <c r="M53" s="849"/>
      <c r="N53" s="45" t="s">
        <v>190</v>
      </c>
      <c r="O53" s="33" t="s">
        <v>322</v>
      </c>
      <c r="P53" s="44" t="s">
        <v>191</v>
      </c>
      <c r="Q53" s="33" t="s">
        <v>442</v>
      </c>
      <c r="R53" s="34" t="s">
        <v>314</v>
      </c>
      <c r="S53" s="34" t="s">
        <v>164</v>
      </c>
      <c r="T53" s="34">
        <v>0.17</v>
      </c>
      <c r="U53" s="34">
        <v>0.17</v>
      </c>
      <c r="V53" s="50">
        <f t="shared" si="0"/>
        <v>1</v>
      </c>
      <c r="W53" s="79">
        <f>49%+T53</f>
        <v>0.66</v>
      </c>
      <c r="X53" s="79">
        <f>49%+U53</f>
        <v>0.66</v>
      </c>
      <c r="Y53" s="50">
        <f t="shared" si="1"/>
        <v>1</v>
      </c>
      <c r="Z53" s="347" t="s">
        <v>530</v>
      </c>
      <c r="AA53" s="262" t="s">
        <v>294</v>
      </c>
      <c r="AB53" s="11"/>
      <c r="AC53" s="11"/>
      <c r="AD53" s="12"/>
      <c r="AE53" s="1"/>
    </row>
    <row r="54" spans="3:31" ht="218.25" customHeight="1" thickBot="1" x14ac:dyDescent="0.3">
      <c r="C54" s="886"/>
      <c r="D54" s="889"/>
      <c r="E54" s="327"/>
      <c r="F54" s="321"/>
      <c r="G54" s="832">
        <v>309</v>
      </c>
      <c r="H54" s="835" t="s">
        <v>192</v>
      </c>
      <c r="I54" s="838">
        <v>0.05</v>
      </c>
      <c r="J54" s="841" t="s">
        <v>193</v>
      </c>
      <c r="K54" s="835" t="s">
        <v>194</v>
      </c>
      <c r="L54" s="844" t="s">
        <v>81</v>
      </c>
      <c r="M54" s="847">
        <v>1</v>
      </c>
      <c r="N54" s="45" t="s">
        <v>195</v>
      </c>
      <c r="O54" s="33" t="s">
        <v>338</v>
      </c>
      <c r="P54" s="44" t="s">
        <v>196</v>
      </c>
      <c r="Q54" s="33" t="s">
        <v>197</v>
      </c>
      <c r="R54" s="34" t="s">
        <v>339</v>
      </c>
      <c r="S54" s="34" t="s">
        <v>42</v>
      </c>
      <c r="T54" s="36">
        <v>0</v>
      </c>
      <c r="U54" s="36">
        <v>0</v>
      </c>
      <c r="V54" s="50" t="e">
        <f>+U54/T54</f>
        <v>#DIV/0!</v>
      </c>
      <c r="W54" s="36">
        <v>1</v>
      </c>
      <c r="X54" s="36">
        <f>+U54</f>
        <v>0</v>
      </c>
      <c r="Y54" s="50">
        <f t="shared" si="1"/>
        <v>0</v>
      </c>
      <c r="Z54" s="255" t="s">
        <v>466</v>
      </c>
      <c r="AA54" s="254" t="s">
        <v>541</v>
      </c>
      <c r="AB54" s="20"/>
      <c r="AC54" s="20"/>
      <c r="AD54" s="21"/>
      <c r="AE54" s="1"/>
    </row>
    <row r="55" spans="3:31" ht="200.25" customHeight="1" thickBot="1" x14ac:dyDescent="0.3">
      <c r="C55" s="886"/>
      <c r="D55" s="889"/>
      <c r="E55" s="327"/>
      <c r="F55" s="321"/>
      <c r="G55" s="833"/>
      <c r="H55" s="836"/>
      <c r="I55" s="839"/>
      <c r="J55" s="842"/>
      <c r="K55" s="836"/>
      <c r="L55" s="845"/>
      <c r="M55" s="848"/>
      <c r="N55" s="45" t="s">
        <v>198</v>
      </c>
      <c r="O55" s="33" t="s">
        <v>199</v>
      </c>
      <c r="P55" s="44" t="s">
        <v>200</v>
      </c>
      <c r="Q55" s="33" t="s">
        <v>201</v>
      </c>
      <c r="R55" s="34" t="s">
        <v>202</v>
      </c>
      <c r="S55" s="34" t="s">
        <v>42</v>
      </c>
      <c r="T55" s="36">
        <v>1</v>
      </c>
      <c r="U55" s="36">
        <v>1</v>
      </c>
      <c r="V55" s="50">
        <f t="shared" si="0"/>
        <v>1</v>
      </c>
      <c r="W55" s="36">
        <f>1+T55</f>
        <v>2</v>
      </c>
      <c r="X55" s="36">
        <f>+U55</f>
        <v>1</v>
      </c>
      <c r="Y55" s="50">
        <f t="shared" si="1"/>
        <v>0.5</v>
      </c>
      <c r="Z55" s="248" t="s">
        <v>531</v>
      </c>
      <c r="AA55" s="317" t="s">
        <v>489</v>
      </c>
      <c r="AB55" s="20"/>
      <c r="AC55" s="20"/>
      <c r="AD55" s="21"/>
      <c r="AE55" s="1"/>
    </row>
    <row r="56" spans="3:31" ht="162" customHeight="1" thickBot="1" x14ac:dyDescent="0.3">
      <c r="C56" s="886"/>
      <c r="D56" s="889"/>
      <c r="E56" s="327"/>
      <c r="F56" s="321"/>
      <c r="G56" s="833"/>
      <c r="H56" s="836"/>
      <c r="I56" s="839"/>
      <c r="J56" s="842"/>
      <c r="K56" s="836"/>
      <c r="L56" s="845"/>
      <c r="M56" s="848"/>
      <c r="N56" s="45" t="s">
        <v>203</v>
      </c>
      <c r="O56" s="33" t="s">
        <v>204</v>
      </c>
      <c r="P56" s="44" t="s">
        <v>205</v>
      </c>
      <c r="Q56" s="33" t="s">
        <v>206</v>
      </c>
      <c r="R56" s="34" t="s">
        <v>207</v>
      </c>
      <c r="S56" s="34" t="s">
        <v>42</v>
      </c>
      <c r="T56" s="36">
        <v>2</v>
      </c>
      <c r="U56" s="36">
        <v>0</v>
      </c>
      <c r="V56" s="50">
        <f t="shared" si="0"/>
        <v>0</v>
      </c>
      <c r="W56" s="36">
        <f>6+T56</f>
        <v>8</v>
      </c>
      <c r="X56" s="36">
        <f>+U56</f>
        <v>0</v>
      </c>
      <c r="Y56" s="50">
        <f t="shared" si="1"/>
        <v>0</v>
      </c>
      <c r="Z56" s="346" t="s">
        <v>491</v>
      </c>
      <c r="AA56" s="351" t="s">
        <v>492</v>
      </c>
      <c r="AB56" s="20"/>
      <c r="AC56" s="20"/>
      <c r="AD56" s="21"/>
      <c r="AE56" s="1"/>
    </row>
    <row r="57" spans="3:31" ht="195" customHeight="1" thickBot="1" x14ac:dyDescent="0.3">
      <c r="C57" s="886"/>
      <c r="D57" s="889"/>
      <c r="E57" s="327"/>
      <c r="F57" s="321"/>
      <c r="G57" s="833"/>
      <c r="H57" s="836"/>
      <c r="I57" s="839"/>
      <c r="J57" s="842"/>
      <c r="K57" s="836"/>
      <c r="L57" s="845"/>
      <c r="M57" s="848"/>
      <c r="N57" s="45" t="s">
        <v>208</v>
      </c>
      <c r="O57" s="33" t="s">
        <v>209</v>
      </c>
      <c r="P57" s="44" t="s">
        <v>210</v>
      </c>
      <c r="Q57" s="33" t="s">
        <v>194</v>
      </c>
      <c r="R57" s="34" t="s">
        <v>194</v>
      </c>
      <c r="S57" s="34" t="s">
        <v>42</v>
      </c>
      <c r="T57" s="36">
        <v>0</v>
      </c>
      <c r="U57" s="36">
        <v>0</v>
      </c>
      <c r="V57" s="50" t="e">
        <f t="shared" si="0"/>
        <v>#DIV/0!</v>
      </c>
      <c r="W57" s="36">
        <v>2</v>
      </c>
      <c r="X57" s="36">
        <f>1+U57</f>
        <v>1</v>
      </c>
      <c r="Y57" s="50">
        <f t="shared" si="1"/>
        <v>0.5</v>
      </c>
      <c r="Z57" s="248" t="s">
        <v>466</v>
      </c>
      <c r="AA57" s="351" t="s">
        <v>493</v>
      </c>
      <c r="AB57" s="20"/>
      <c r="AC57" s="20"/>
      <c r="AD57" s="21"/>
      <c r="AE57" s="1"/>
    </row>
    <row r="58" spans="3:31" ht="119.25" customHeight="1" thickBot="1" x14ac:dyDescent="0.3">
      <c r="C58" s="886"/>
      <c r="D58" s="889"/>
      <c r="E58" s="327"/>
      <c r="F58" s="321"/>
      <c r="G58" s="833"/>
      <c r="H58" s="836"/>
      <c r="I58" s="839"/>
      <c r="J58" s="842"/>
      <c r="K58" s="836"/>
      <c r="L58" s="845"/>
      <c r="M58" s="848"/>
      <c r="N58" s="810" t="s">
        <v>211</v>
      </c>
      <c r="O58" s="813" t="s">
        <v>212</v>
      </c>
      <c r="P58" s="44" t="s">
        <v>213</v>
      </c>
      <c r="Q58" s="33" t="s">
        <v>214</v>
      </c>
      <c r="R58" s="34" t="s">
        <v>215</v>
      </c>
      <c r="S58" s="34" t="s">
        <v>42</v>
      </c>
      <c r="T58" s="36">
        <v>0</v>
      </c>
      <c r="U58" s="36">
        <v>0</v>
      </c>
      <c r="V58" s="50" t="e">
        <f>+U58/T58</f>
        <v>#DIV/0!</v>
      </c>
      <c r="W58" s="36">
        <v>10</v>
      </c>
      <c r="X58" s="36">
        <f>+U58</f>
        <v>0</v>
      </c>
      <c r="Y58" s="50">
        <f t="shared" si="1"/>
        <v>0</v>
      </c>
      <c r="Z58" s="248" t="s">
        <v>477</v>
      </c>
      <c r="AA58" s="249" t="s">
        <v>293</v>
      </c>
      <c r="AB58" s="20"/>
      <c r="AC58" s="20"/>
      <c r="AD58" s="21"/>
      <c r="AE58" s="1"/>
    </row>
    <row r="59" spans="3:31" ht="235.5" customHeight="1" thickBot="1" x14ac:dyDescent="0.3">
      <c r="C59" s="886"/>
      <c r="D59" s="889"/>
      <c r="E59" s="327"/>
      <c r="F59" s="321"/>
      <c r="G59" s="833"/>
      <c r="H59" s="836"/>
      <c r="I59" s="839"/>
      <c r="J59" s="842"/>
      <c r="K59" s="836"/>
      <c r="L59" s="845"/>
      <c r="M59" s="848"/>
      <c r="N59" s="811"/>
      <c r="O59" s="814"/>
      <c r="P59" s="44" t="s">
        <v>216</v>
      </c>
      <c r="Q59" s="33" t="s">
        <v>217</v>
      </c>
      <c r="R59" s="34" t="s">
        <v>218</v>
      </c>
      <c r="S59" s="34" t="s">
        <v>219</v>
      </c>
      <c r="T59" s="36">
        <v>8</v>
      </c>
      <c r="U59" s="36">
        <v>11</v>
      </c>
      <c r="V59" s="50">
        <f>+T59/U59</f>
        <v>0.72727272727272729</v>
      </c>
      <c r="W59" s="36">
        <v>8</v>
      </c>
      <c r="X59" s="250">
        <v>8.67</v>
      </c>
      <c r="Y59" s="50">
        <f>+W59/X59</f>
        <v>0.92272202998846597</v>
      </c>
      <c r="Z59" s="248" t="s">
        <v>532</v>
      </c>
      <c r="AA59" s="253" t="s">
        <v>533</v>
      </c>
      <c r="AB59" s="20"/>
      <c r="AC59" s="20"/>
      <c r="AD59" s="21"/>
      <c r="AE59" s="1"/>
    </row>
    <row r="60" spans="3:31" ht="231.75" customHeight="1" thickBot="1" x14ac:dyDescent="0.3">
      <c r="C60" s="886"/>
      <c r="D60" s="889"/>
      <c r="E60" s="327"/>
      <c r="F60" s="321"/>
      <c r="G60" s="833"/>
      <c r="H60" s="836"/>
      <c r="I60" s="839"/>
      <c r="J60" s="842"/>
      <c r="K60" s="836"/>
      <c r="L60" s="845"/>
      <c r="M60" s="848"/>
      <c r="N60" s="812"/>
      <c r="O60" s="815"/>
      <c r="P60" s="44" t="s">
        <v>220</v>
      </c>
      <c r="Q60" s="33" t="s">
        <v>221</v>
      </c>
      <c r="R60" s="34" t="s">
        <v>222</v>
      </c>
      <c r="S60" s="34" t="s">
        <v>343</v>
      </c>
      <c r="T60" s="34">
        <v>1</v>
      </c>
      <c r="U60" s="34">
        <v>0.8</v>
      </c>
      <c r="V60" s="50">
        <f t="shared" si="0"/>
        <v>0.8</v>
      </c>
      <c r="W60" s="34">
        <v>1</v>
      </c>
      <c r="X60" s="90">
        <v>0.90300000000000002</v>
      </c>
      <c r="Y60" s="50">
        <f t="shared" si="1"/>
        <v>0.90300000000000002</v>
      </c>
      <c r="Z60" s="252" t="s">
        <v>534</v>
      </c>
      <c r="AA60" s="249" t="s">
        <v>292</v>
      </c>
      <c r="AB60" s="20"/>
      <c r="AC60" s="20"/>
      <c r="AD60" s="21"/>
      <c r="AE60" s="1"/>
    </row>
    <row r="61" spans="3:31" ht="169.5" customHeight="1" thickBot="1" x14ac:dyDescent="0.3">
      <c r="C61" s="886"/>
      <c r="D61" s="889"/>
      <c r="E61" s="327"/>
      <c r="F61" s="321"/>
      <c r="G61" s="833"/>
      <c r="H61" s="836"/>
      <c r="I61" s="839"/>
      <c r="J61" s="842"/>
      <c r="K61" s="836"/>
      <c r="L61" s="845"/>
      <c r="M61" s="848"/>
      <c r="N61" s="45" t="s">
        <v>224</v>
      </c>
      <c r="O61" s="33" t="s">
        <v>225</v>
      </c>
      <c r="P61" s="44" t="s">
        <v>226</v>
      </c>
      <c r="Q61" s="33" t="s">
        <v>227</v>
      </c>
      <c r="R61" s="34" t="s">
        <v>228</v>
      </c>
      <c r="S61" s="34" t="s">
        <v>229</v>
      </c>
      <c r="T61" s="34">
        <v>0.1</v>
      </c>
      <c r="U61" s="34">
        <v>0</v>
      </c>
      <c r="V61" s="50">
        <f t="shared" si="0"/>
        <v>0</v>
      </c>
      <c r="W61" s="34">
        <f>90%+T61</f>
        <v>1</v>
      </c>
      <c r="X61" s="39">
        <f>80%+U61</f>
        <v>0.8</v>
      </c>
      <c r="Y61" s="50">
        <f t="shared" si="1"/>
        <v>0.8</v>
      </c>
      <c r="Z61" s="252" t="s">
        <v>478</v>
      </c>
      <c r="AA61" s="249" t="s">
        <v>294</v>
      </c>
      <c r="AB61" s="20"/>
      <c r="AC61" s="20"/>
      <c r="AD61" s="21"/>
      <c r="AE61" s="1"/>
    </row>
    <row r="62" spans="3:31" ht="343.5" customHeight="1" thickBot="1" x14ac:dyDescent="0.3">
      <c r="C62" s="886"/>
      <c r="D62" s="889"/>
      <c r="E62" s="327"/>
      <c r="F62" s="321"/>
      <c r="G62" s="833"/>
      <c r="H62" s="836"/>
      <c r="I62" s="839"/>
      <c r="J62" s="842"/>
      <c r="K62" s="836"/>
      <c r="L62" s="845"/>
      <c r="M62" s="848"/>
      <c r="N62" s="45" t="s">
        <v>230</v>
      </c>
      <c r="O62" s="33" t="s">
        <v>232</v>
      </c>
      <c r="P62" s="44" t="s">
        <v>231</v>
      </c>
      <c r="Q62" s="33" t="s">
        <v>233</v>
      </c>
      <c r="R62" s="34" t="s">
        <v>234</v>
      </c>
      <c r="S62" s="34" t="s">
        <v>235</v>
      </c>
      <c r="T62" s="39">
        <v>0.2</v>
      </c>
      <c r="U62" s="39">
        <v>1</v>
      </c>
      <c r="V62" s="50">
        <f t="shared" si="0"/>
        <v>5</v>
      </c>
      <c r="W62" s="39">
        <f>80%+T62</f>
        <v>1</v>
      </c>
      <c r="X62" s="39">
        <f>+U62</f>
        <v>1</v>
      </c>
      <c r="Y62" s="50">
        <f t="shared" si="1"/>
        <v>1</v>
      </c>
      <c r="Z62" s="312" t="s">
        <v>535</v>
      </c>
      <c r="AA62" s="350" t="s">
        <v>536</v>
      </c>
      <c r="AB62" s="20"/>
      <c r="AC62" s="20"/>
      <c r="AD62" s="21"/>
      <c r="AE62" s="1"/>
    </row>
    <row r="63" spans="3:31" ht="192" customHeight="1" thickBot="1" x14ac:dyDescent="0.3">
      <c r="C63" s="886"/>
      <c r="D63" s="889"/>
      <c r="E63" s="327"/>
      <c r="F63" s="321"/>
      <c r="G63" s="833"/>
      <c r="H63" s="836"/>
      <c r="I63" s="839"/>
      <c r="J63" s="842"/>
      <c r="K63" s="836"/>
      <c r="L63" s="845"/>
      <c r="M63" s="848"/>
      <c r="N63" s="810" t="s">
        <v>236</v>
      </c>
      <c r="O63" s="813" t="s">
        <v>237</v>
      </c>
      <c r="P63" s="44" t="s">
        <v>238</v>
      </c>
      <c r="Q63" s="33" t="s">
        <v>239</v>
      </c>
      <c r="R63" s="34" t="s">
        <v>240</v>
      </c>
      <c r="S63" s="34" t="s">
        <v>42</v>
      </c>
      <c r="T63" s="36">
        <v>750</v>
      </c>
      <c r="U63" s="36">
        <v>894</v>
      </c>
      <c r="V63" s="50">
        <f t="shared" si="0"/>
        <v>1.1919999999999999</v>
      </c>
      <c r="W63" s="36">
        <f>1550+T6</f>
        <v>1550</v>
      </c>
      <c r="X63" s="40">
        <f>1586+U63</f>
        <v>2480</v>
      </c>
      <c r="Y63" s="50">
        <f t="shared" si="1"/>
        <v>1.6</v>
      </c>
      <c r="Z63" s="264" t="s">
        <v>473</v>
      </c>
      <c r="AA63" s="265" t="s">
        <v>294</v>
      </c>
      <c r="AB63" s="20"/>
      <c r="AC63" s="20"/>
      <c r="AD63" s="21"/>
      <c r="AE63" s="1"/>
    </row>
    <row r="64" spans="3:31" ht="175.5" customHeight="1" thickBot="1" x14ac:dyDescent="0.3">
      <c r="C64" s="886"/>
      <c r="D64" s="889"/>
      <c r="E64" s="327"/>
      <c r="F64" s="321"/>
      <c r="G64" s="833"/>
      <c r="H64" s="836"/>
      <c r="I64" s="839"/>
      <c r="J64" s="842"/>
      <c r="K64" s="836"/>
      <c r="L64" s="845"/>
      <c r="M64" s="848"/>
      <c r="N64" s="812"/>
      <c r="O64" s="815"/>
      <c r="P64" s="44" t="s">
        <v>241</v>
      </c>
      <c r="Q64" s="33" t="s">
        <v>332</v>
      </c>
      <c r="R64" s="34" t="s">
        <v>333</v>
      </c>
      <c r="S64" s="34" t="s">
        <v>77</v>
      </c>
      <c r="T64" s="79">
        <v>1</v>
      </c>
      <c r="U64" s="79">
        <v>1</v>
      </c>
      <c r="V64" s="50">
        <f t="shared" si="0"/>
        <v>1</v>
      </c>
      <c r="W64" s="34">
        <v>1</v>
      </c>
      <c r="X64" s="90">
        <v>0.99</v>
      </c>
      <c r="Y64" s="50">
        <f t="shared" si="1"/>
        <v>0.99</v>
      </c>
      <c r="Z64" s="252" t="s">
        <v>537</v>
      </c>
      <c r="AA64" s="254" t="s">
        <v>538</v>
      </c>
      <c r="AB64" s="20"/>
      <c r="AC64" s="20"/>
      <c r="AD64" s="21"/>
      <c r="AE64" s="1"/>
    </row>
    <row r="65" spans="1:31" ht="376.5" customHeight="1" thickBot="1" x14ac:dyDescent="0.3">
      <c r="C65" s="886"/>
      <c r="D65" s="889"/>
      <c r="E65" s="327"/>
      <c r="F65" s="321"/>
      <c r="G65" s="833"/>
      <c r="H65" s="836"/>
      <c r="I65" s="839"/>
      <c r="J65" s="842"/>
      <c r="K65" s="836"/>
      <c r="L65" s="845"/>
      <c r="M65" s="848"/>
      <c r="N65" s="810" t="s">
        <v>242</v>
      </c>
      <c r="O65" s="816" t="s">
        <v>243</v>
      </c>
      <c r="P65" s="44" t="s">
        <v>244</v>
      </c>
      <c r="Q65" s="33" t="s">
        <v>245</v>
      </c>
      <c r="R65" s="34" t="s">
        <v>228</v>
      </c>
      <c r="S65" s="34" t="s">
        <v>229</v>
      </c>
      <c r="T65" s="90">
        <v>0.23300000000000001</v>
      </c>
      <c r="U65" s="90">
        <v>0.21329999999999999</v>
      </c>
      <c r="V65" s="50">
        <f>+U65/T65</f>
        <v>0.91545064377682395</v>
      </c>
      <c r="W65" s="88">
        <f>30%+T65</f>
        <v>0.53300000000000003</v>
      </c>
      <c r="X65" s="90">
        <f>30%+U65</f>
        <v>0.51329999999999998</v>
      </c>
      <c r="Y65" s="50">
        <f t="shared" si="1"/>
        <v>0.96303939962476537</v>
      </c>
      <c r="Z65" s="252" t="s">
        <v>539</v>
      </c>
      <c r="AA65" s="266" t="s">
        <v>474</v>
      </c>
      <c r="AB65" s="20"/>
      <c r="AC65" s="20"/>
      <c r="AD65" s="21"/>
      <c r="AE65" s="1"/>
    </row>
    <row r="66" spans="1:31" ht="394.5" customHeight="1" thickBot="1" x14ac:dyDescent="0.3">
      <c r="C66" s="886"/>
      <c r="D66" s="889"/>
      <c r="E66" s="327"/>
      <c r="F66" s="321"/>
      <c r="G66" s="834"/>
      <c r="H66" s="837"/>
      <c r="I66" s="840"/>
      <c r="J66" s="843"/>
      <c r="K66" s="837"/>
      <c r="L66" s="846"/>
      <c r="M66" s="849"/>
      <c r="N66" s="812"/>
      <c r="O66" s="817"/>
      <c r="P66" s="44" t="s">
        <v>298</v>
      </c>
      <c r="Q66" s="33" t="s">
        <v>334</v>
      </c>
      <c r="R66" s="34" t="s">
        <v>228</v>
      </c>
      <c r="S66" s="34" t="s">
        <v>164</v>
      </c>
      <c r="T66" s="79">
        <v>0.18329999999999999</v>
      </c>
      <c r="U66" s="79">
        <v>0.18329999999999999</v>
      </c>
      <c r="V66" s="50">
        <f>+U66/T66</f>
        <v>1</v>
      </c>
      <c r="W66" s="88">
        <f>45%+T66</f>
        <v>0.63329999999999997</v>
      </c>
      <c r="X66" s="39">
        <f>27.5%+U66</f>
        <v>0.45830000000000004</v>
      </c>
      <c r="Y66" s="50">
        <f>+X66/W66</f>
        <v>0.72366966682456979</v>
      </c>
      <c r="Z66" s="252" t="s">
        <v>475</v>
      </c>
      <c r="AA66" s="267" t="s">
        <v>476</v>
      </c>
      <c r="AB66" s="20"/>
      <c r="AC66" s="20"/>
      <c r="AD66" s="21"/>
      <c r="AE66" s="1"/>
    </row>
    <row r="67" spans="1:31" ht="321.75" customHeight="1" thickBot="1" x14ac:dyDescent="0.3">
      <c r="C67" s="886"/>
      <c r="D67" s="889"/>
      <c r="E67" s="850">
        <v>4</v>
      </c>
      <c r="F67" s="853" t="s">
        <v>246</v>
      </c>
      <c r="G67" s="322">
        <v>401</v>
      </c>
      <c r="H67" s="329" t="s">
        <v>247</v>
      </c>
      <c r="I67" s="343">
        <v>0.35</v>
      </c>
      <c r="J67" s="324" t="s">
        <v>248</v>
      </c>
      <c r="K67" s="329" t="s">
        <v>249</v>
      </c>
      <c r="L67" s="334" t="s">
        <v>81</v>
      </c>
      <c r="M67" s="348">
        <v>1</v>
      </c>
      <c r="N67" s="65" t="s">
        <v>250</v>
      </c>
      <c r="O67" s="41" t="s">
        <v>335</v>
      </c>
      <c r="P67" s="46" t="s">
        <v>251</v>
      </c>
      <c r="Q67" s="41" t="s">
        <v>336</v>
      </c>
      <c r="R67" s="42" t="s">
        <v>337</v>
      </c>
      <c r="S67" s="42" t="s">
        <v>42</v>
      </c>
      <c r="T67" s="43">
        <v>0</v>
      </c>
      <c r="U67" s="43">
        <v>0</v>
      </c>
      <c r="V67" s="50" t="e">
        <f t="shared" si="0"/>
        <v>#DIV/0!</v>
      </c>
      <c r="W67" s="43">
        <v>10</v>
      </c>
      <c r="X67" s="43">
        <f>10+U67</f>
        <v>10</v>
      </c>
      <c r="Y67" s="50">
        <f t="shared" si="1"/>
        <v>1</v>
      </c>
      <c r="Z67" s="255" t="s">
        <v>479</v>
      </c>
      <c r="AA67" s="253" t="s">
        <v>480</v>
      </c>
      <c r="AB67" s="22"/>
      <c r="AC67" s="22"/>
      <c r="AD67" s="23">
        <f>6+5+8+4+2+13+24</f>
        <v>62</v>
      </c>
      <c r="AE67" s="1">
        <f>91-62</f>
        <v>29</v>
      </c>
    </row>
    <row r="68" spans="1:31" ht="174.75" customHeight="1" thickBot="1" x14ac:dyDescent="0.3">
      <c r="C68" s="886"/>
      <c r="D68" s="889"/>
      <c r="E68" s="851"/>
      <c r="F68" s="854"/>
      <c r="G68" s="832">
        <v>402</v>
      </c>
      <c r="H68" s="835" t="s">
        <v>286</v>
      </c>
      <c r="I68" s="838">
        <v>0.35</v>
      </c>
      <c r="J68" s="14" t="s">
        <v>252</v>
      </c>
      <c r="K68" s="47" t="s">
        <v>253</v>
      </c>
      <c r="L68" s="72" t="s">
        <v>81</v>
      </c>
      <c r="M68" s="46">
        <v>0.6</v>
      </c>
      <c r="N68" s="856" t="s">
        <v>254</v>
      </c>
      <c r="O68" s="824" t="s">
        <v>340</v>
      </c>
      <c r="P68" s="826" t="s">
        <v>255</v>
      </c>
      <c r="Q68" s="828" t="s">
        <v>341</v>
      </c>
      <c r="R68" s="820" t="s">
        <v>342</v>
      </c>
      <c r="S68" s="820" t="s">
        <v>256</v>
      </c>
      <c r="T68" s="820">
        <v>0</v>
      </c>
      <c r="U68" s="820">
        <v>0</v>
      </c>
      <c r="V68" s="769" t="e">
        <f t="shared" si="0"/>
        <v>#DIV/0!</v>
      </c>
      <c r="W68" s="820">
        <v>0</v>
      </c>
      <c r="X68" s="820">
        <f>+U68</f>
        <v>0</v>
      </c>
      <c r="Y68" s="769" t="e">
        <f t="shared" si="1"/>
        <v>#DIV/0!</v>
      </c>
      <c r="Z68" s="822" t="s">
        <v>540</v>
      </c>
      <c r="AA68" s="818" t="s">
        <v>502</v>
      </c>
      <c r="AB68" s="24"/>
      <c r="AC68" s="24"/>
      <c r="AD68" s="25"/>
      <c r="AE68" s="1"/>
    </row>
    <row r="69" spans="1:31" ht="160.5" customHeight="1" thickBot="1" x14ac:dyDescent="0.3">
      <c r="C69" s="886"/>
      <c r="D69" s="889"/>
      <c r="E69" s="851"/>
      <c r="F69" s="854"/>
      <c r="G69" s="834"/>
      <c r="H69" s="837"/>
      <c r="I69" s="840"/>
      <c r="J69" s="14" t="s">
        <v>257</v>
      </c>
      <c r="K69" s="331" t="s">
        <v>194</v>
      </c>
      <c r="L69" s="335" t="s">
        <v>81</v>
      </c>
      <c r="M69" s="349">
        <v>0.4</v>
      </c>
      <c r="N69" s="857"/>
      <c r="O69" s="825"/>
      <c r="P69" s="827"/>
      <c r="Q69" s="829"/>
      <c r="R69" s="821"/>
      <c r="S69" s="821"/>
      <c r="T69" s="821"/>
      <c r="U69" s="821"/>
      <c r="V69" s="770"/>
      <c r="W69" s="821"/>
      <c r="X69" s="821"/>
      <c r="Y69" s="770"/>
      <c r="Z69" s="823"/>
      <c r="AA69" s="819"/>
      <c r="AB69" s="24"/>
      <c r="AC69" s="24"/>
      <c r="AD69" s="25"/>
      <c r="AE69" s="1"/>
    </row>
    <row r="70" spans="1:31" ht="187.5" customHeight="1" thickBot="1" x14ac:dyDescent="0.3">
      <c r="C70" s="887"/>
      <c r="D70" s="890"/>
      <c r="E70" s="852"/>
      <c r="F70" s="855"/>
      <c r="G70" s="323">
        <v>403</v>
      </c>
      <c r="H70" s="331" t="s">
        <v>258</v>
      </c>
      <c r="I70" s="344">
        <v>0.3</v>
      </c>
      <c r="J70" s="14" t="s">
        <v>259</v>
      </c>
      <c r="K70" s="331" t="s">
        <v>260</v>
      </c>
      <c r="L70" s="335" t="s">
        <v>81</v>
      </c>
      <c r="M70" s="349">
        <v>1</v>
      </c>
      <c r="N70" s="65" t="s">
        <v>261</v>
      </c>
      <c r="O70" s="41" t="s">
        <v>262</v>
      </c>
      <c r="P70" s="46" t="s">
        <v>263</v>
      </c>
      <c r="Q70" s="41" t="s">
        <v>194</v>
      </c>
      <c r="R70" s="42" t="s">
        <v>194</v>
      </c>
      <c r="S70" s="42" t="s">
        <v>42</v>
      </c>
      <c r="T70" s="43">
        <v>0</v>
      </c>
      <c r="U70" s="43">
        <v>1</v>
      </c>
      <c r="V70" s="51">
        <v>1</v>
      </c>
      <c r="W70" s="43">
        <v>1</v>
      </c>
      <c r="X70" s="43">
        <f>+U70</f>
        <v>1</v>
      </c>
      <c r="Y70" s="51">
        <f t="shared" si="1"/>
        <v>1</v>
      </c>
      <c r="Z70" s="255" t="s">
        <v>501</v>
      </c>
      <c r="AA70" s="249" t="s">
        <v>292</v>
      </c>
      <c r="AB70" s="22"/>
      <c r="AC70" s="22"/>
      <c r="AD70" s="23"/>
      <c r="AE70" s="1"/>
    </row>
    <row r="71" spans="1:31" ht="12.75" customHeight="1" x14ac:dyDescent="0.35">
      <c r="E71" s="26"/>
      <c r="F71" s="2"/>
      <c r="G71" s="1"/>
      <c r="H71" s="3"/>
      <c r="I71" s="4"/>
      <c r="J71" s="1"/>
      <c r="K71" s="3"/>
      <c r="L71" s="5"/>
      <c r="M71" s="27"/>
      <c r="N71" s="27"/>
      <c r="O71" s="27"/>
      <c r="P71" s="27"/>
      <c r="Q71" s="27"/>
      <c r="R71" s="27"/>
      <c r="S71" s="27"/>
      <c r="T71" s="27"/>
      <c r="U71" s="27"/>
      <c r="V71" s="27"/>
      <c r="W71" s="27"/>
      <c r="X71" s="27"/>
      <c r="Y71" s="27"/>
      <c r="Z71" s="27"/>
      <c r="AA71" s="27"/>
      <c r="AB71" s="27"/>
      <c r="AC71" s="27"/>
      <c r="AD71" s="27"/>
      <c r="AE71" s="1"/>
    </row>
    <row r="72" spans="1:31" s="29" customFormat="1" x14ac:dyDescent="0.35">
      <c r="A72" s="2"/>
      <c r="B72" s="2"/>
      <c r="C72" s="2"/>
      <c r="D72" s="2"/>
      <c r="E72" s="1"/>
      <c r="F72" s="2"/>
      <c r="G72" s="1"/>
      <c r="H72" s="3"/>
      <c r="I72" s="28"/>
      <c r="J72" s="1"/>
      <c r="K72" s="3"/>
      <c r="L72" s="5"/>
      <c r="M72" s="1"/>
      <c r="N72" s="1"/>
      <c r="O72" s="1"/>
      <c r="P72" s="1"/>
      <c r="Q72" s="1"/>
      <c r="R72" s="1"/>
      <c r="S72" s="1"/>
      <c r="T72" s="1"/>
      <c r="U72" s="1"/>
      <c r="V72" s="1"/>
      <c r="W72" s="1"/>
      <c r="X72" s="1"/>
      <c r="Y72" s="1"/>
      <c r="Z72" s="1"/>
      <c r="AA72" s="1"/>
      <c r="AB72" s="1"/>
      <c r="AC72" s="1"/>
      <c r="AD72" s="1"/>
      <c r="AE72" s="2"/>
    </row>
    <row r="73" spans="1:31" x14ac:dyDescent="0.35">
      <c r="E73" s="1"/>
      <c r="F73" s="2"/>
      <c r="G73" s="1"/>
      <c r="H73" s="3"/>
      <c r="I73" s="4"/>
      <c r="J73" s="1"/>
      <c r="K73" s="3"/>
      <c r="L73" s="5"/>
      <c r="M73" s="1"/>
      <c r="N73" s="1"/>
      <c r="O73" s="1"/>
      <c r="P73" s="1"/>
      <c r="Q73" s="1"/>
      <c r="R73" s="1"/>
      <c r="S73" s="1"/>
      <c r="T73" s="1"/>
      <c r="U73" s="1"/>
      <c r="V73" s="1"/>
      <c r="W73" s="1"/>
      <c r="X73" s="1"/>
      <c r="Y73" s="1"/>
      <c r="Z73" s="1"/>
      <c r="AA73" s="1"/>
      <c r="AB73" s="1"/>
      <c r="AC73" s="1"/>
      <c r="AD73" s="1"/>
      <c r="AE73" s="1"/>
    </row>
    <row r="74" spans="1:31" x14ac:dyDescent="0.35">
      <c r="E74" s="1"/>
      <c r="F74" s="2"/>
      <c r="G74" s="1"/>
      <c r="H74" s="3"/>
      <c r="I74" s="4"/>
      <c r="J74" s="1"/>
      <c r="K74" s="3"/>
      <c r="L74" s="5"/>
      <c r="M74" s="1"/>
      <c r="N74" s="1"/>
      <c r="O74" s="1"/>
      <c r="P74" s="1"/>
      <c r="Q74" s="1"/>
      <c r="R74" s="1"/>
      <c r="S74" s="1"/>
      <c r="T74" s="1"/>
      <c r="U74" s="1"/>
      <c r="V74" s="1"/>
      <c r="W74" s="1"/>
      <c r="X74" s="1"/>
      <c r="Y74" s="1"/>
      <c r="Z74" s="1"/>
      <c r="AA74" s="1"/>
      <c r="AB74" s="1"/>
      <c r="AC74" s="1"/>
      <c r="AD74" s="1"/>
      <c r="AE74" s="1"/>
    </row>
  </sheetData>
  <sheetProtection algorithmName="SHA-512" hashValue="KKCo2XkkmvVDgWdcWENPvq0WDzNQ6wLK+bzFxwJnHrQWIA+Wi9Newib42e5e3F6lqGqOwVKTzqka4ZDEhtl/eA==" saltValue="l13JNNqHk5u4lQJBmFFMfw==" spinCount="100000" sheet="1" objects="1" scenarios="1"/>
  <mergeCells count="189">
    <mergeCell ref="AA10:AA11"/>
    <mergeCell ref="X68:X69"/>
    <mergeCell ref="Y68:Y69"/>
    <mergeCell ref="Z68:Z69"/>
    <mergeCell ref="O68:O69"/>
    <mergeCell ref="P68:P69"/>
    <mergeCell ref="Q68:Q69"/>
    <mergeCell ref="R68:R69"/>
    <mergeCell ref="S68:S69"/>
    <mergeCell ref="T68:T69"/>
    <mergeCell ref="AA47:AA48"/>
    <mergeCell ref="Z39:Z41"/>
    <mergeCell ref="AA39:AA41"/>
    <mergeCell ref="U39:U41"/>
    <mergeCell ref="V39:V41"/>
    <mergeCell ref="V36:V37"/>
    <mergeCell ref="W36:W37"/>
    <mergeCell ref="X36:X37"/>
    <mergeCell ref="Y36:Y37"/>
    <mergeCell ref="P36:P37"/>
    <mergeCell ref="Q36:Q37"/>
    <mergeCell ref="R36:R37"/>
    <mergeCell ref="S36:S37"/>
    <mergeCell ref="T36:T37"/>
    <mergeCell ref="G54:G66"/>
    <mergeCell ref="H54:H66"/>
    <mergeCell ref="I54:I66"/>
    <mergeCell ref="J54:J66"/>
    <mergeCell ref="K54:K66"/>
    <mergeCell ref="L54:L66"/>
    <mergeCell ref="E67:E70"/>
    <mergeCell ref="F67:F70"/>
    <mergeCell ref="G68:G69"/>
    <mergeCell ref="H68:H69"/>
    <mergeCell ref="I68:I69"/>
    <mergeCell ref="N68:N69"/>
    <mergeCell ref="M54:M66"/>
    <mergeCell ref="N58:N60"/>
    <mergeCell ref="O58:O60"/>
    <mergeCell ref="N63:N64"/>
    <mergeCell ref="O63:O64"/>
    <mergeCell ref="N65:N66"/>
    <mergeCell ref="O65:O66"/>
    <mergeCell ref="AA68:AA69"/>
    <mergeCell ref="U68:U69"/>
    <mergeCell ref="V68:V69"/>
    <mergeCell ref="W68:W69"/>
    <mergeCell ref="G46:G53"/>
    <mergeCell ref="H46:H53"/>
    <mergeCell ref="I46:I53"/>
    <mergeCell ref="N46:N50"/>
    <mergeCell ref="O46:O50"/>
    <mergeCell ref="J47:J53"/>
    <mergeCell ref="K47:K53"/>
    <mergeCell ref="L47:L53"/>
    <mergeCell ref="M47:M53"/>
    <mergeCell ref="G42:G45"/>
    <mergeCell ref="H42:H45"/>
    <mergeCell ref="I42:I45"/>
    <mergeCell ref="J43:J45"/>
    <mergeCell ref="K43:K45"/>
    <mergeCell ref="Q39:Q41"/>
    <mergeCell ref="R39:R41"/>
    <mergeCell ref="S39:S41"/>
    <mergeCell ref="T39:T41"/>
    <mergeCell ref="L43:L45"/>
    <mergeCell ref="M43:M45"/>
    <mergeCell ref="N44:N45"/>
    <mergeCell ref="O44:O45"/>
    <mergeCell ref="G39:G41"/>
    <mergeCell ref="H39:H41"/>
    <mergeCell ref="I39:I41"/>
    <mergeCell ref="N39:N41"/>
    <mergeCell ref="O39:O41"/>
    <mergeCell ref="P39:P41"/>
    <mergeCell ref="X39:X41"/>
    <mergeCell ref="Y39:Y41"/>
    <mergeCell ref="G34:G38"/>
    <mergeCell ref="H34:H38"/>
    <mergeCell ref="I34:I38"/>
    <mergeCell ref="N34:N37"/>
    <mergeCell ref="O34:O37"/>
    <mergeCell ref="J36:J37"/>
    <mergeCell ref="K36:K37"/>
    <mergeCell ref="L36:L37"/>
    <mergeCell ref="M36:M37"/>
    <mergeCell ref="I31:I33"/>
    <mergeCell ref="J31:J33"/>
    <mergeCell ref="K31:K33"/>
    <mergeCell ref="L31:L33"/>
    <mergeCell ref="M31:M33"/>
    <mergeCell ref="N32:N33"/>
    <mergeCell ref="O32:O33"/>
    <mergeCell ref="U36:U37"/>
    <mergeCell ref="W39:W41"/>
    <mergeCell ref="R16:R22"/>
    <mergeCell ref="S16:S22"/>
    <mergeCell ref="K24:K25"/>
    <mergeCell ref="L24:L25"/>
    <mergeCell ref="M24:M25"/>
    <mergeCell ref="G26:G30"/>
    <mergeCell ref="H26:H30"/>
    <mergeCell ref="I26:I30"/>
    <mergeCell ref="J26:J30"/>
    <mergeCell ref="K26:K30"/>
    <mergeCell ref="L26:L30"/>
    <mergeCell ref="M26:M30"/>
    <mergeCell ref="N26:N27"/>
    <mergeCell ref="O26:O27"/>
    <mergeCell ref="T16:T22"/>
    <mergeCell ref="AA13:AA15"/>
    <mergeCell ref="N14:N15"/>
    <mergeCell ref="O14:O15"/>
    <mergeCell ref="Z14:Z15"/>
    <mergeCell ref="E16:E22"/>
    <mergeCell ref="F16:F22"/>
    <mergeCell ref="G16:G17"/>
    <mergeCell ref="H16:H17"/>
    <mergeCell ref="I16:I17"/>
    <mergeCell ref="N16:N22"/>
    <mergeCell ref="AA16:AA22"/>
    <mergeCell ref="G18:G19"/>
    <mergeCell ref="H18:H19"/>
    <mergeCell ref="I18:I19"/>
    <mergeCell ref="G20:G22"/>
    <mergeCell ref="H20:H22"/>
    <mergeCell ref="I20:I22"/>
    <mergeCell ref="U16:U22"/>
    <mergeCell ref="V16:V22"/>
    <mergeCell ref="W16:W22"/>
    <mergeCell ref="X16:X22"/>
    <mergeCell ref="Y16:Y22"/>
    <mergeCell ref="Z16:Z22"/>
    <mergeCell ref="C9:C70"/>
    <mergeCell ref="D9:D70"/>
    <mergeCell ref="E9:E15"/>
    <mergeCell ref="F9:F15"/>
    <mergeCell ref="G10:G12"/>
    <mergeCell ref="H10:H12"/>
    <mergeCell ref="I10:I12"/>
    <mergeCell ref="N7:O7"/>
    <mergeCell ref="P7:Q7"/>
    <mergeCell ref="N10:N11"/>
    <mergeCell ref="O10:O11"/>
    <mergeCell ref="P10:P11"/>
    <mergeCell ref="Q10:Q11"/>
    <mergeCell ref="E23:E44"/>
    <mergeCell ref="F23:F44"/>
    <mergeCell ref="G24:G25"/>
    <mergeCell ref="H24:H25"/>
    <mergeCell ref="I24:I25"/>
    <mergeCell ref="J24:J25"/>
    <mergeCell ref="O16:O22"/>
    <mergeCell ref="P16:P22"/>
    <mergeCell ref="Q16:Q22"/>
    <mergeCell ref="G31:G33"/>
    <mergeCell ref="H31:H33"/>
    <mergeCell ref="Z10:Z11"/>
    <mergeCell ref="G13:G15"/>
    <mergeCell ref="H13:H15"/>
    <mergeCell ref="I13:I15"/>
    <mergeCell ref="J13:J14"/>
    <mergeCell ref="K13:K14"/>
    <mergeCell ref="L13:L14"/>
    <mergeCell ref="M13:M14"/>
    <mergeCell ref="T10:T11"/>
    <mergeCell ref="U10:U11"/>
    <mergeCell ref="V10:V11"/>
    <mergeCell ref="W10:W11"/>
    <mergeCell ref="X10:X11"/>
    <mergeCell ref="Y10:Y11"/>
    <mergeCell ref="R10:R11"/>
    <mergeCell ref="S10:S11"/>
    <mergeCell ref="C2:AA2"/>
    <mergeCell ref="C3:AA3"/>
    <mergeCell ref="C4:AA4"/>
    <mergeCell ref="C6:M6"/>
    <mergeCell ref="N6:AA6"/>
    <mergeCell ref="C7:C8"/>
    <mergeCell ref="D7:D8"/>
    <mergeCell ref="E7:F7"/>
    <mergeCell ref="G7:I7"/>
    <mergeCell ref="J7:M7"/>
    <mergeCell ref="Z7:Z8"/>
    <mergeCell ref="AA7:AA8"/>
    <mergeCell ref="R7:R8"/>
    <mergeCell ref="S7:S8"/>
    <mergeCell ref="T7:V7"/>
    <mergeCell ref="W7:Y7"/>
  </mergeCells>
  <conditionalFormatting sqref="V9:V10 Y10 Y42:Y68 V42:V68">
    <cfRule type="cellIs" dxfId="74" priority="10" stopIfTrue="1" operator="greaterThanOrEqual">
      <formula>80.01%</formula>
    </cfRule>
    <cfRule type="cellIs" dxfId="73" priority="11" stopIfTrue="1" operator="between">
      <formula>0.501</formula>
      <formula>0.8</formula>
    </cfRule>
    <cfRule type="cellIs" dxfId="72" priority="12" stopIfTrue="1" operator="lessThanOrEqual">
      <formula>0.5</formula>
    </cfRule>
  </conditionalFormatting>
  <conditionalFormatting sqref="Y9">
    <cfRule type="cellIs" dxfId="71" priority="7" stopIfTrue="1" operator="greaterThanOrEqual">
      <formula>80.01%</formula>
    </cfRule>
    <cfRule type="cellIs" dxfId="70" priority="8" stopIfTrue="1" operator="between">
      <formula>0.501</formula>
      <formula>0.8</formula>
    </cfRule>
    <cfRule type="cellIs" dxfId="69" priority="9" stopIfTrue="1" operator="lessThanOrEqual">
      <formula>0.5</formula>
    </cfRule>
  </conditionalFormatting>
  <conditionalFormatting sqref="V12:V16 V23:V36 V70 V38:V39">
    <cfRule type="cellIs" dxfId="68" priority="4" stopIfTrue="1" operator="greaterThanOrEqual">
      <formula>80.01%</formula>
    </cfRule>
    <cfRule type="cellIs" dxfId="67" priority="5" stopIfTrue="1" operator="between">
      <formula>0.501</formula>
      <formula>0.8</formula>
    </cfRule>
    <cfRule type="cellIs" dxfId="66" priority="6" stopIfTrue="1" operator="lessThanOrEqual">
      <formula>0.5</formula>
    </cfRule>
  </conditionalFormatting>
  <conditionalFormatting sqref="Y12:Y16 Y23:Y36 Y70 Y38:Y39">
    <cfRule type="cellIs" dxfId="65" priority="1" stopIfTrue="1" operator="greaterThanOrEqual">
      <formula>80.01%</formula>
    </cfRule>
    <cfRule type="cellIs" dxfId="64" priority="2" stopIfTrue="1" operator="between">
      <formula>0.501</formula>
      <formula>0.8</formula>
    </cfRule>
    <cfRule type="cellIs" dxfId="63" priority="3" stopIfTrue="1" operator="lessThanOrEqual">
      <formula>0.5</formula>
    </cfRule>
  </conditionalFormatting>
  <pageMargins left="0.39370078740157483" right="0.19685039370078741" top="0.59055118110236227" bottom="0.19685039370078741" header="0.31496062992125984" footer="0"/>
  <pageSetup paperSize="5" scale="23" orientation="landscape" r:id="rId1"/>
  <headerFooter alignWithMargins="0">
    <oddFooter>Página &amp;P de &amp;F</oddFooter>
  </headerFooter>
  <rowBreaks count="3" manualBreakCount="3">
    <brk id="33" max="16383" man="1"/>
    <brk id="60" max="16383" man="1"/>
    <brk id="67" max="28"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74"/>
  <sheetViews>
    <sheetView view="pageBreakPreview" topLeftCell="P55" zoomScale="40" zoomScaleNormal="70" zoomScaleSheetLayoutView="40" workbookViewId="0">
      <selection activeCell="U59" sqref="U59"/>
    </sheetView>
  </sheetViews>
  <sheetFormatPr baseColWidth="10" defaultRowHeight="22.5" x14ac:dyDescent="0.35"/>
  <cols>
    <col min="1" max="1" width="2.85546875" style="1" customWidth="1"/>
    <col min="2" max="2" width="2" style="1" customWidth="1"/>
    <col min="3" max="4" width="10.140625" style="1" customWidth="1"/>
    <col min="5" max="5" width="7" style="6" customWidth="1"/>
    <col min="6" max="6" width="11" style="29" customWidth="1"/>
    <col min="7" max="7" width="7.7109375" style="6" customWidth="1"/>
    <col min="8" max="8" width="47.140625" style="30" customWidth="1"/>
    <col min="9" max="9" width="12.28515625" style="31" customWidth="1"/>
    <col min="10" max="10" width="11.42578125" style="6" customWidth="1"/>
    <col min="11" max="11" width="52.5703125" style="30" customWidth="1"/>
    <col min="12" max="12" width="11.5703125" style="32" customWidth="1"/>
    <col min="13" max="13" width="12.42578125" style="6" customWidth="1"/>
    <col min="14" max="14" width="15" style="6" customWidth="1"/>
    <col min="15" max="15" width="43.140625" style="6" customWidth="1"/>
    <col min="16" max="16" width="16.85546875" style="6" customWidth="1"/>
    <col min="17" max="17" width="42.85546875" style="6" customWidth="1"/>
    <col min="18" max="18" width="32.85546875" style="6" customWidth="1"/>
    <col min="19" max="19" width="24.28515625" style="6" customWidth="1"/>
    <col min="20" max="20" width="28.7109375" style="6" customWidth="1"/>
    <col min="21" max="21" width="29.140625" style="6" customWidth="1"/>
    <col min="22" max="22" width="23" style="6" customWidth="1"/>
    <col min="23" max="23" width="29.7109375" style="6" customWidth="1"/>
    <col min="24" max="24" width="29.42578125" style="6" customWidth="1"/>
    <col min="25" max="25" width="22.28515625" style="6" customWidth="1"/>
    <col min="26" max="26" width="75.7109375" style="6" customWidth="1"/>
    <col min="27" max="27" width="77.42578125" style="6" customWidth="1"/>
    <col min="28" max="28" width="6.140625" style="6" customWidth="1"/>
    <col min="29" max="29" width="12.42578125" style="6" customWidth="1"/>
    <col min="30" max="30" width="23.7109375" style="6" customWidth="1"/>
    <col min="31" max="31" width="10.28515625" style="6" customWidth="1"/>
    <col min="32" max="32" width="8" style="6" customWidth="1"/>
    <col min="33" max="16384" width="11.42578125" style="6"/>
  </cols>
  <sheetData>
    <row r="1" spans="3:35" ht="7.5" customHeight="1" x14ac:dyDescent="0.35">
      <c r="E1" s="1"/>
      <c r="F1" s="2"/>
      <c r="G1" s="1"/>
      <c r="H1" s="3"/>
      <c r="I1" s="4"/>
      <c r="J1" s="1"/>
      <c r="K1" s="3"/>
      <c r="L1" s="5"/>
      <c r="M1" s="1"/>
      <c r="N1" s="1"/>
      <c r="O1" s="1"/>
      <c r="P1" s="1"/>
      <c r="Q1" s="1"/>
      <c r="R1" s="1"/>
      <c r="S1" s="1"/>
      <c r="T1" s="1"/>
      <c r="U1" s="1"/>
      <c r="V1" s="1"/>
      <c r="W1" s="1"/>
      <c r="X1" s="1"/>
      <c r="Y1" s="1"/>
      <c r="Z1" s="1"/>
      <c r="AA1" s="1"/>
      <c r="AB1" s="1"/>
      <c r="AC1" s="1"/>
      <c r="AD1" s="1"/>
      <c r="AE1" s="1"/>
    </row>
    <row r="2" spans="3:35" ht="42" customHeight="1" x14ac:dyDescent="0.25">
      <c r="C2" s="910" t="s">
        <v>0</v>
      </c>
      <c r="D2" s="910"/>
      <c r="E2" s="910"/>
      <c r="F2" s="910"/>
      <c r="G2" s="910"/>
      <c r="H2" s="910"/>
      <c r="I2" s="910"/>
      <c r="J2" s="910"/>
      <c r="K2" s="910"/>
      <c r="L2" s="910"/>
      <c r="M2" s="910"/>
      <c r="N2" s="910"/>
      <c r="O2" s="910"/>
      <c r="P2" s="910"/>
      <c r="Q2" s="910"/>
      <c r="R2" s="910"/>
      <c r="S2" s="910"/>
      <c r="T2" s="910"/>
      <c r="U2" s="910"/>
      <c r="V2" s="910"/>
      <c r="W2" s="910"/>
      <c r="X2" s="910"/>
      <c r="Y2" s="910"/>
      <c r="Z2" s="910"/>
      <c r="AA2" s="910"/>
      <c r="AB2" s="7"/>
      <c r="AC2" s="7"/>
      <c r="AD2" s="7"/>
      <c r="AE2" s="1"/>
    </row>
    <row r="3" spans="3:35" ht="27" customHeight="1" x14ac:dyDescent="0.25">
      <c r="C3" s="910" t="s">
        <v>486</v>
      </c>
      <c r="D3" s="910"/>
      <c r="E3" s="910"/>
      <c r="F3" s="910"/>
      <c r="G3" s="910"/>
      <c r="H3" s="910"/>
      <c r="I3" s="910"/>
      <c r="J3" s="910"/>
      <c r="K3" s="910"/>
      <c r="L3" s="910"/>
      <c r="M3" s="910"/>
      <c r="N3" s="910"/>
      <c r="O3" s="910"/>
      <c r="P3" s="910"/>
      <c r="Q3" s="910"/>
      <c r="R3" s="910"/>
      <c r="S3" s="910"/>
      <c r="T3" s="910"/>
      <c r="U3" s="910"/>
      <c r="V3" s="910"/>
      <c r="W3" s="910"/>
      <c r="X3" s="910"/>
      <c r="Y3" s="910"/>
      <c r="Z3" s="910"/>
      <c r="AA3" s="910"/>
      <c r="AB3" s="7"/>
      <c r="AC3" s="7"/>
      <c r="AD3" s="7"/>
      <c r="AE3" s="1"/>
    </row>
    <row r="4" spans="3:35" ht="36" customHeight="1" x14ac:dyDescent="0.25">
      <c r="C4" s="911" t="s">
        <v>459</v>
      </c>
      <c r="D4" s="911"/>
      <c r="E4" s="911"/>
      <c r="F4" s="911"/>
      <c r="G4" s="911"/>
      <c r="H4" s="911"/>
      <c r="I4" s="911"/>
      <c r="J4" s="911"/>
      <c r="K4" s="911"/>
      <c r="L4" s="911"/>
      <c r="M4" s="911"/>
      <c r="N4" s="911"/>
      <c r="O4" s="911"/>
      <c r="P4" s="911"/>
      <c r="Q4" s="911"/>
      <c r="R4" s="911"/>
      <c r="S4" s="911"/>
      <c r="T4" s="911"/>
      <c r="U4" s="911"/>
      <c r="V4" s="911"/>
      <c r="W4" s="911"/>
      <c r="X4" s="911"/>
      <c r="Y4" s="911"/>
      <c r="Z4" s="911"/>
      <c r="AA4" s="911"/>
      <c r="AB4" s="395"/>
      <c r="AC4" s="395"/>
      <c r="AD4" s="395"/>
      <c r="AE4" s="1"/>
    </row>
    <row r="5" spans="3:35" ht="19.5" customHeight="1" thickBot="1" x14ac:dyDescent="0.3">
      <c r="E5" s="8"/>
      <c r="F5" s="8"/>
      <c r="G5" s="8"/>
      <c r="H5" s="8"/>
      <c r="I5" s="8"/>
      <c r="J5" s="8"/>
      <c r="K5" s="8"/>
      <c r="L5" s="8"/>
      <c r="M5" s="8"/>
      <c r="N5" s="8"/>
      <c r="O5" s="8"/>
      <c r="P5" s="8"/>
      <c r="Q5" s="8"/>
      <c r="R5" s="8"/>
      <c r="S5" s="8"/>
      <c r="T5" s="8"/>
      <c r="U5" s="8"/>
      <c r="V5" s="8"/>
      <c r="W5" s="8"/>
      <c r="X5" s="8"/>
      <c r="Y5" s="8"/>
      <c r="Z5" s="8"/>
      <c r="AA5" s="8"/>
      <c r="AB5" s="8"/>
      <c r="AC5" s="8"/>
      <c r="AD5" s="8"/>
      <c r="AE5" s="1"/>
    </row>
    <row r="6" spans="3:35" ht="42.75" customHeight="1" thickBot="1" x14ac:dyDescent="0.3">
      <c r="C6" s="912" t="s">
        <v>1</v>
      </c>
      <c r="D6" s="913"/>
      <c r="E6" s="913"/>
      <c r="F6" s="913"/>
      <c r="G6" s="913"/>
      <c r="H6" s="913"/>
      <c r="I6" s="913"/>
      <c r="J6" s="913"/>
      <c r="K6" s="913"/>
      <c r="L6" s="913"/>
      <c r="M6" s="914"/>
      <c r="N6" s="915" t="s">
        <v>2</v>
      </c>
      <c r="O6" s="916"/>
      <c r="P6" s="916"/>
      <c r="Q6" s="916"/>
      <c r="R6" s="916"/>
      <c r="S6" s="916"/>
      <c r="T6" s="916"/>
      <c r="U6" s="916"/>
      <c r="V6" s="916"/>
      <c r="W6" s="916"/>
      <c r="X6" s="916"/>
      <c r="Y6" s="916"/>
      <c r="Z6" s="916"/>
      <c r="AA6" s="917"/>
      <c r="AB6" s="9"/>
      <c r="AC6" s="9"/>
      <c r="AD6" s="9"/>
      <c r="AE6" s="1"/>
    </row>
    <row r="7" spans="3:35" ht="56.25" customHeight="1" thickBot="1" x14ac:dyDescent="0.3">
      <c r="C7" s="918" t="s">
        <v>3</v>
      </c>
      <c r="D7" s="918" t="s">
        <v>4</v>
      </c>
      <c r="E7" s="920" t="s">
        <v>5</v>
      </c>
      <c r="F7" s="921"/>
      <c r="G7" s="922" t="s">
        <v>6</v>
      </c>
      <c r="H7" s="923"/>
      <c r="I7" s="924"/>
      <c r="J7" s="922" t="s">
        <v>7</v>
      </c>
      <c r="K7" s="923"/>
      <c r="L7" s="923"/>
      <c r="M7" s="924"/>
      <c r="N7" s="898" t="s">
        <v>6</v>
      </c>
      <c r="O7" s="899"/>
      <c r="P7" s="898" t="s">
        <v>7</v>
      </c>
      <c r="Q7" s="899"/>
      <c r="R7" s="900" t="s">
        <v>8</v>
      </c>
      <c r="S7" s="902" t="s">
        <v>9</v>
      </c>
      <c r="T7" s="898" t="s">
        <v>461</v>
      </c>
      <c r="U7" s="904"/>
      <c r="V7" s="899"/>
      <c r="W7" s="905" t="s">
        <v>460</v>
      </c>
      <c r="X7" s="906"/>
      <c r="Y7" s="907"/>
      <c r="Z7" s="925" t="s">
        <v>266</v>
      </c>
      <c r="AA7" s="925" t="s">
        <v>267</v>
      </c>
      <c r="AB7" s="10"/>
      <c r="AC7" s="10"/>
      <c r="AD7" s="10"/>
      <c r="AE7" s="1"/>
    </row>
    <row r="8" spans="3:35" ht="79.5" customHeight="1" thickBot="1" x14ac:dyDescent="0.3">
      <c r="C8" s="919"/>
      <c r="D8" s="919"/>
      <c r="E8" s="66" t="s">
        <v>10</v>
      </c>
      <c r="F8" s="66" t="s">
        <v>11</v>
      </c>
      <c r="G8" s="66" t="s">
        <v>10</v>
      </c>
      <c r="H8" s="71" t="s">
        <v>12</v>
      </c>
      <c r="I8" s="66" t="s">
        <v>13</v>
      </c>
      <c r="J8" s="66" t="s">
        <v>10</v>
      </c>
      <c r="K8" s="71" t="s">
        <v>14</v>
      </c>
      <c r="L8" s="66" t="s">
        <v>15</v>
      </c>
      <c r="M8" s="66" t="s">
        <v>16</v>
      </c>
      <c r="N8" s="372" t="s">
        <v>17</v>
      </c>
      <c r="O8" s="373" t="s">
        <v>12</v>
      </c>
      <c r="P8" s="67" t="s">
        <v>17</v>
      </c>
      <c r="Q8" s="373" t="s">
        <v>14</v>
      </c>
      <c r="R8" s="901"/>
      <c r="S8" s="903"/>
      <c r="T8" s="68" t="s">
        <v>462</v>
      </c>
      <c r="U8" s="68" t="s">
        <v>463</v>
      </c>
      <c r="V8" s="68" t="s">
        <v>265</v>
      </c>
      <c r="W8" s="68" t="s">
        <v>464</v>
      </c>
      <c r="X8" s="68" t="s">
        <v>465</v>
      </c>
      <c r="Y8" s="68" t="s">
        <v>265</v>
      </c>
      <c r="Z8" s="926"/>
      <c r="AA8" s="926"/>
      <c r="AB8" s="10"/>
      <c r="AC8" s="10"/>
      <c r="AD8" s="10"/>
      <c r="AE8" s="1"/>
    </row>
    <row r="9" spans="3:35" ht="141" customHeight="1" thickBot="1" x14ac:dyDescent="0.3">
      <c r="C9" s="885" t="s">
        <v>18</v>
      </c>
      <c r="D9" s="888" t="s">
        <v>19</v>
      </c>
      <c r="E9" s="891">
        <v>1</v>
      </c>
      <c r="F9" s="893" t="s">
        <v>20</v>
      </c>
      <c r="G9" s="95">
        <v>101</v>
      </c>
      <c r="H9" s="96" t="s">
        <v>21</v>
      </c>
      <c r="I9" s="97">
        <v>0.6</v>
      </c>
      <c r="J9" s="365" t="s">
        <v>22</v>
      </c>
      <c r="K9" s="96" t="s">
        <v>23</v>
      </c>
      <c r="L9" s="98" t="s">
        <v>24</v>
      </c>
      <c r="M9" s="99">
        <v>1</v>
      </c>
      <c r="N9" s="376" t="s">
        <v>25</v>
      </c>
      <c r="O9" s="100" t="s">
        <v>26</v>
      </c>
      <c r="P9" s="44" t="s">
        <v>27</v>
      </c>
      <c r="Q9" s="33" t="s">
        <v>306</v>
      </c>
      <c r="R9" s="34" t="s">
        <v>307</v>
      </c>
      <c r="S9" s="34" t="s">
        <v>28</v>
      </c>
      <c r="T9" s="94">
        <v>177033</v>
      </c>
      <c r="U9" s="92">
        <f>-182849-95774</f>
        <v>-278623</v>
      </c>
      <c r="V9" s="50">
        <f>+U9/T9</f>
        <v>-1.5738478136844543</v>
      </c>
      <c r="W9" s="69">
        <f>493618+T9</f>
        <v>670651</v>
      </c>
      <c r="X9" s="70">
        <f>401906+U9</f>
        <v>123283</v>
      </c>
      <c r="Y9" s="50">
        <f>+X9/W9</f>
        <v>0.18382586471950388</v>
      </c>
      <c r="Z9" s="139" t="s">
        <v>552</v>
      </c>
      <c r="AA9" s="254" t="s">
        <v>549</v>
      </c>
      <c r="AB9" s="11"/>
      <c r="AC9" s="12"/>
      <c r="AD9" s="91"/>
      <c r="AE9" s="1"/>
    </row>
    <row r="10" spans="3:35" ht="81" customHeight="1" thickBot="1" x14ac:dyDescent="0.3">
      <c r="C10" s="886"/>
      <c r="D10" s="889"/>
      <c r="E10" s="892"/>
      <c r="F10" s="894"/>
      <c r="G10" s="832">
        <v>102</v>
      </c>
      <c r="H10" s="835" t="s">
        <v>29</v>
      </c>
      <c r="I10" s="895">
        <v>0.2</v>
      </c>
      <c r="J10" s="365" t="s">
        <v>30</v>
      </c>
      <c r="K10" s="369" t="s">
        <v>31</v>
      </c>
      <c r="L10" s="374" t="s">
        <v>24</v>
      </c>
      <c r="M10" s="376">
        <v>0.4</v>
      </c>
      <c r="N10" s="847" t="s">
        <v>32</v>
      </c>
      <c r="O10" s="813" t="s">
        <v>33</v>
      </c>
      <c r="P10" s="847" t="s">
        <v>34</v>
      </c>
      <c r="Q10" s="813" t="s">
        <v>331</v>
      </c>
      <c r="R10" s="858" t="s">
        <v>305</v>
      </c>
      <c r="S10" s="858" t="s">
        <v>28</v>
      </c>
      <c r="T10" s="881">
        <v>20000</v>
      </c>
      <c r="U10" s="881">
        <f>43571+26401</f>
        <v>69972</v>
      </c>
      <c r="V10" s="769">
        <f t="shared" ref="V10:V68" si="0">+U10/T10</f>
        <v>3.4986000000000002</v>
      </c>
      <c r="W10" s="881">
        <f>85000+T10</f>
        <v>105000</v>
      </c>
      <c r="X10" s="883">
        <f>40305+U10</f>
        <v>110277</v>
      </c>
      <c r="Y10" s="769">
        <f t="shared" ref="Y10:Y70" si="1">+X10/W10</f>
        <v>1.0502571428571428</v>
      </c>
      <c r="Z10" s="773" t="s">
        <v>550</v>
      </c>
      <c r="AA10" s="928" t="s">
        <v>553</v>
      </c>
      <c r="AB10" s="11"/>
      <c r="AC10" s="12"/>
      <c r="AD10" s="13"/>
      <c r="AE10" s="1"/>
    </row>
    <row r="11" spans="3:35" ht="96.75" customHeight="1" thickBot="1" x14ac:dyDescent="0.3">
      <c r="C11" s="886"/>
      <c r="D11" s="889"/>
      <c r="E11" s="892"/>
      <c r="F11" s="894"/>
      <c r="G11" s="833"/>
      <c r="H11" s="836"/>
      <c r="I11" s="896"/>
      <c r="J11" s="14" t="s">
        <v>35</v>
      </c>
      <c r="K11" s="47" t="s">
        <v>36</v>
      </c>
      <c r="L11" s="374" t="s">
        <v>24</v>
      </c>
      <c r="M11" s="44">
        <v>0.3</v>
      </c>
      <c r="N11" s="849"/>
      <c r="O11" s="815"/>
      <c r="P11" s="849"/>
      <c r="Q11" s="815"/>
      <c r="R11" s="860"/>
      <c r="S11" s="860"/>
      <c r="T11" s="882"/>
      <c r="U11" s="882"/>
      <c r="V11" s="770"/>
      <c r="W11" s="882"/>
      <c r="X11" s="884"/>
      <c r="Y11" s="770"/>
      <c r="Z11" s="774"/>
      <c r="AA11" s="929"/>
      <c r="AB11" s="11"/>
      <c r="AC11" s="12"/>
      <c r="AD11" s="12"/>
      <c r="AE11" s="1"/>
    </row>
    <row r="12" spans="3:35" ht="243" customHeight="1" thickBot="1" x14ac:dyDescent="0.3">
      <c r="C12" s="886"/>
      <c r="D12" s="889"/>
      <c r="E12" s="892"/>
      <c r="F12" s="894"/>
      <c r="G12" s="834"/>
      <c r="H12" s="837"/>
      <c r="I12" s="897"/>
      <c r="J12" s="14" t="s">
        <v>37</v>
      </c>
      <c r="K12" s="47" t="s">
        <v>38</v>
      </c>
      <c r="L12" s="72" t="s">
        <v>24</v>
      </c>
      <c r="M12" s="44">
        <v>0.3</v>
      </c>
      <c r="N12" s="44" t="s">
        <v>39</v>
      </c>
      <c r="O12" s="33" t="s">
        <v>308</v>
      </c>
      <c r="P12" s="44" t="s">
        <v>40</v>
      </c>
      <c r="Q12" s="33" t="s">
        <v>308</v>
      </c>
      <c r="R12" s="34" t="s">
        <v>41</v>
      </c>
      <c r="S12" s="34" t="s">
        <v>42</v>
      </c>
      <c r="T12" s="36">
        <v>1</v>
      </c>
      <c r="U12" s="36">
        <v>0</v>
      </c>
      <c r="V12" s="50">
        <f t="shared" si="0"/>
        <v>0</v>
      </c>
      <c r="W12" s="36">
        <f>2+T12</f>
        <v>3</v>
      </c>
      <c r="X12" s="36">
        <f>2+U12</f>
        <v>2</v>
      </c>
      <c r="Y12" s="50">
        <f t="shared" si="1"/>
        <v>0.66666666666666663</v>
      </c>
      <c r="Z12" s="248" t="s">
        <v>484</v>
      </c>
      <c r="AA12" s="254" t="s">
        <v>639</v>
      </c>
      <c r="AB12" s="11"/>
      <c r="AC12" s="12"/>
      <c r="AD12" s="12"/>
      <c r="AE12" s="1"/>
    </row>
    <row r="13" spans="3:35" ht="150.75" customHeight="1" thickBot="1" x14ac:dyDescent="0.3">
      <c r="C13" s="886"/>
      <c r="D13" s="889"/>
      <c r="E13" s="892"/>
      <c r="F13" s="894"/>
      <c r="G13" s="832">
        <v>103</v>
      </c>
      <c r="H13" s="835" t="s">
        <v>43</v>
      </c>
      <c r="I13" s="895">
        <v>0.2</v>
      </c>
      <c r="J13" s="841" t="s">
        <v>44</v>
      </c>
      <c r="K13" s="908" t="s">
        <v>45</v>
      </c>
      <c r="L13" s="844" t="s">
        <v>24</v>
      </c>
      <c r="M13" s="847">
        <v>0.5</v>
      </c>
      <c r="N13" s="101" t="s">
        <v>106</v>
      </c>
      <c r="O13" s="33" t="s">
        <v>324</v>
      </c>
      <c r="P13" s="44" t="s">
        <v>108</v>
      </c>
      <c r="Q13" s="33" t="s">
        <v>329</v>
      </c>
      <c r="R13" s="49" t="s">
        <v>325</v>
      </c>
      <c r="S13" s="34" t="s">
        <v>42</v>
      </c>
      <c r="T13" s="36">
        <v>0</v>
      </c>
      <c r="U13" s="36">
        <v>0</v>
      </c>
      <c r="V13" s="50" t="e">
        <f t="shared" si="0"/>
        <v>#DIV/0!</v>
      </c>
      <c r="W13" s="36">
        <f>+T13</f>
        <v>0</v>
      </c>
      <c r="X13" s="36">
        <f>+U13</f>
        <v>0</v>
      </c>
      <c r="Y13" s="50" t="e">
        <f t="shared" si="1"/>
        <v>#DIV/0!</v>
      </c>
      <c r="Z13" s="248" t="s">
        <v>485</v>
      </c>
      <c r="AA13" s="927" t="s">
        <v>503</v>
      </c>
      <c r="AB13" s="11"/>
      <c r="AC13" s="12"/>
      <c r="AD13" s="12"/>
      <c r="AE13" s="76"/>
      <c r="AG13" s="77"/>
      <c r="AI13" s="77"/>
    </row>
    <row r="14" spans="3:35" ht="132" customHeight="1" thickBot="1" x14ac:dyDescent="0.3">
      <c r="C14" s="886"/>
      <c r="D14" s="889"/>
      <c r="E14" s="892"/>
      <c r="F14" s="894"/>
      <c r="G14" s="833"/>
      <c r="H14" s="836"/>
      <c r="I14" s="896"/>
      <c r="J14" s="843"/>
      <c r="K14" s="909"/>
      <c r="L14" s="846"/>
      <c r="M14" s="849"/>
      <c r="N14" s="848" t="s">
        <v>46</v>
      </c>
      <c r="O14" s="814" t="s">
        <v>47</v>
      </c>
      <c r="P14" s="377" t="s">
        <v>48</v>
      </c>
      <c r="Q14" s="379" t="s">
        <v>330</v>
      </c>
      <c r="R14" s="49" t="s">
        <v>310</v>
      </c>
      <c r="S14" s="34" t="s">
        <v>49</v>
      </c>
      <c r="T14" s="36">
        <v>21</v>
      </c>
      <c r="U14" s="36">
        <v>0</v>
      </c>
      <c r="V14" s="50">
        <f>+U14/T14</f>
        <v>0</v>
      </c>
      <c r="W14" s="36">
        <f>20+T14</f>
        <v>41</v>
      </c>
      <c r="X14" s="36">
        <f>+U14</f>
        <v>0</v>
      </c>
      <c r="Y14" s="50">
        <f>+X14/W14</f>
        <v>0</v>
      </c>
      <c r="Z14" s="930" t="s">
        <v>504</v>
      </c>
      <c r="AA14" s="928"/>
      <c r="AB14" s="11"/>
      <c r="AC14" s="12"/>
      <c r="AD14" s="12"/>
      <c r="AE14" s="76"/>
      <c r="AG14" s="77"/>
      <c r="AH14" s="77"/>
      <c r="AI14" s="77"/>
    </row>
    <row r="15" spans="3:35" ht="132" customHeight="1" thickBot="1" x14ac:dyDescent="0.3">
      <c r="C15" s="886"/>
      <c r="D15" s="889"/>
      <c r="E15" s="892"/>
      <c r="F15" s="894"/>
      <c r="G15" s="834"/>
      <c r="H15" s="837"/>
      <c r="I15" s="897"/>
      <c r="J15" s="365" t="s">
        <v>50</v>
      </c>
      <c r="K15" s="369" t="s">
        <v>287</v>
      </c>
      <c r="L15" s="374" t="s">
        <v>24</v>
      </c>
      <c r="M15" s="376">
        <v>0.5</v>
      </c>
      <c r="N15" s="849"/>
      <c r="O15" s="815"/>
      <c r="P15" s="44" t="s">
        <v>51</v>
      </c>
      <c r="Q15" s="33" t="s">
        <v>309</v>
      </c>
      <c r="R15" s="34" t="s">
        <v>311</v>
      </c>
      <c r="S15" s="34" t="s">
        <v>42</v>
      </c>
      <c r="T15" s="37">
        <v>750</v>
      </c>
      <c r="U15" s="36">
        <v>0</v>
      </c>
      <c r="V15" s="50">
        <f t="shared" si="0"/>
        <v>0</v>
      </c>
      <c r="W15" s="37">
        <f>1550+T15</f>
        <v>2300</v>
      </c>
      <c r="X15" s="36">
        <f>+U15</f>
        <v>0</v>
      </c>
      <c r="Y15" s="50">
        <f t="shared" si="1"/>
        <v>0</v>
      </c>
      <c r="Z15" s="931"/>
      <c r="AA15" s="929"/>
      <c r="AB15" s="11"/>
      <c r="AC15" s="12"/>
      <c r="AD15" s="12"/>
      <c r="AE15" s="1"/>
    </row>
    <row r="16" spans="3:35" ht="108.75" customHeight="1" thickBot="1" x14ac:dyDescent="0.3">
      <c r="C16" s="886"/>
      <c r="D16" s="889"/>
      <c r="E16" s="850">
        <v>2</v>
      </c>
      <c r="F16" s="853" t="s">
        <v>52</v>
      </c>
      <c r="G16" s="878">
        <v>201</v>
      </c>
      <c r="H16" s="835" t="s">
        <v>283</v>
      </c>
      <c r="I16" s="868">
        <v>0.3</v>
      </c>
      <c r="J16" s="15" t="s">
        <v>53</v>
      </c>
      <c r="K16" s="47" t="s">
        <v>54</v>
      </c>
      <c r="L16" s="73" t="s">
        <v>24</v>
      </c>
      <c r="M16" s="44">
        <v>0.5</v>
      </c>
      <c r="N16" s="810" t="s">
        <v>55</v>
      </c>
      <c r="O16" s="813" t="s">
        <v>56</v>
      </c>
      <c r="P16" s="847" t="s">
        <v>57</v>
      </c>
      <c r="Q16" s="813" t="s">
        <v>351</v>
      </c>
      <c r="R16" s="858" t="s">
        <v>58</v>
      </c>
      <c r="S16" s="858" t="s">
        <v>42</v>
      </c>
      <c r="T16" s="865">
        <v>1</v>
      </c>
      <c r="U16" s="865">
        <v>1</v>
      </c>
      <c r="V16" s="769">
        <f t="shared" si="0"/>
        <v>1</v>
      </c>
      <c r="W16" s="865">
        <f>+T16</f>
        <v>1</v>
      </c>
      <c r="X16" s="865">
        <f>+U16</f>
        <v>1</v>
      </c>
      <c r="Y16" s="769">
        <f t="shared" si="1"/>
        <v>1</v>
      </c>
      <c r="Z16" s="830" t="s">
        <v>505</v>
      </c>
      <c r="AA16" s="927" t="s">
        <v>506</v>
      </c>
      <c r="AB16" s="11"/>
      <c r="AC16" s="12"/>
      <c r="AD16" s="13"/>
      <c r="AE16" s="1"/>
    </row>
    <row r="17" spans="3:33" ht="66" customHeight="1" thickBot="1" x14ac:dyDescent="0.3">
      <c r="C17" s="886"/>
      <c r="D17" s="889"/>
      <c r="E17" s="851"/>
      <c r="F17" s="854"/>
      <c r="G17" s="879"/>
      <c r="H17" s="837"/>
      <c r="I17" s="869"/>
      <c r="J17" s="16" t="s">
        <v>59</v>
      </c>
      <c r="K17" s="369" t="s">
        <v>60</v>
      </c>
      <c r="L17" s="74" t="s">
        <v>24</v>
      </c>
      <c r="M17" s="376">
        <v>0.5</v>
      </c>
      <c r="N17" s="811"/>
      <c r="O17" s="814"/>
      <c r="P17" s="848"/>
      <c r="Q17" s="814"/>
      <c r="R17" s="859"/>
      <c r="S17" s="859"/>
      <c r="T17" s="866"/>
      <c r="U17" s="866"/>
      <c r="V17" s="779"/>
      <c r="W17" s="866"/>
      <c r="X17" s="866"/>
      <c r="Y17" s="779"/>
      <c r="Z17" s="933"/>
      <c r="AA17" s="932"/>
      <c r="AB17" s="11"/>
      <c r="AC17" s="12"/>
      <c r="AD17" s="13"/>
      <c r="AE17" s="1"/>
    </row>
    <row r="18" spans="3:33" ht="54.75" customHeight="1" thickBot="1" x14ac:dyDescent="0.3">
      <c r="C18" s="886"/>
      <c r="D18" s="889"/>
      <c r="E18" s="851"/>
      <c r="F18" s="854"/>
      <c r="G18" s="878">
        <v>202</v>
      </c>
      <c r="H18" s="835" t="s">
        <v>281</v>
      </c>
      <c r="I18" s="868">
        <v>0.3</v>
      </c>
      <c r="J18" s="16" t="s">
        <v>61</v>
      </c>
      <c r="K18" s="369" t="s">
        <v>62</v>
      </c>
      <c r="L18" s="74" t="s">
        <v>24</v>
      </c>
      <c r="M18" s="376">
        <v>0.5</v>
      </c>
      <c r="N18" s="811"/>
      <c r="O18" s="814"/>
      <c r="P18" s="848"/>
      <c r="Q18" s="814"/>
      <c r="R18" s="859"/>
      <c r="S18" s="859"/>
      <c r="T18" s="866"/>
      <c r="U18" s="866"/>
      <c r="V18" s="779"/>
      <c r="W18" s="866"/>
      <c r="X18" s="866"/>
      <c r="Y18" s="779"/>
      <c r="Z18" s="933"/>
      <c r="AA18" s="932"/>
      <c r="AB18" s="11"/>
      <c r="AC18" s="12"/>
      <c r="AD18" s="13"/>
      <c r="AE18" s="1"/>
    </row>
    <row r="19" spans="3:33" ht="88.5" customHeight="1" thickBot="1" x14ac:dyDescent="0.3">
      <c r="C19" s="886"/>
      <c r="D19" s="889"/>
      <c r="E19" s="851"/>
      <c r="F19" s="854"/>
      <c r="G19" s="879"/>
      <c r="H19" s="837"/>
      <c r="I19" s="869"/>
      <c r="J19" s="15" t="s">
        <v>63</v>
      </c>
      <c r="K19" s="47" t="s">
        <v>64</v>
      </c>
      <c r="L19" s="73" t="s">
        <v>24</v>
      </c>
      <c r="M19" s="44">
        <v>0.5</v>
      </c>
      <c r="N19" s="811"/>
      <c r="O19" s="814"/>
      <c r="P19" s="848"/>
      <c r="Q19" s="814"/>
      <c r="R19" s="859"/>
      <c r="S19" s="859"/>
      <c r="T19" s="866"/>
      <c r="U19" s="866"/>
      <c r="V19" s="779"/>
      <c r="W19" s="866"/>
      <c r="X19" s="866"/>
      <c r="Y19" s="779"/>
      <c r="Z19" s="933"/>
      <c r="AA19" s="932"/>
      <c r="AB19" s="11"/>
      <c r="AC19" s="12"/>
      <c r="AD19" s="17"/>
      <c r="AE19" s="1"/>
    </row>
    <row r="20" spans="3:33" ht="66" customHeight="1" thickBot="1" x14ac:dyDescent="0.3">
      <c r="C20" s="886"/>
      <c r="D20" s="889"/>
      <c r="E20" s="851"/>
      <c r="F20" s="854"/>
      <c r="G20" s="878">
        <v>203</v>
      </c>
      <c r="H20" s="835" t="s">
        <v>282</v>
      </c>
      <c r="I20" s="868">
        <v>0.2</v>
      </c>
      <c r="J20" s="15" t="s">
        <v>65</v>
      </c>
      <c r="K20" s="47" t="s">
        <v>66</v>
      </c>
      <c r="L20" s="73" t="s">
        <v>24</v>
      </c>
      <c r="M20" s="44">
        <v>0.4</v>
      </c>
      <c r="N20" s="811"/>
      <c r="O20" s="814"/>
      <c r="P20" s="848"/>
      <c r="Q20" s="814"/>
      <c r="R20" s="859"/>
      <c r="S20" s="859"/>
      <c r="T20" s="866"/>
      <c r="U20" s="866"/>
      <c r="V20" s="779"/>
      <c r="W20" s="866"/>
      <c r="X20" s="866"/>
      <c r="Y20" s="779"/>
      <c r="Z20" s="933"/>
      <c r="AA20" s="932"/>
      <c r="AB20" s="11"/>
      <c r="AC20" s="12"/>
      <c r="AD20" s="12"/>
      <c r="AE20" s="1"/>
    </row>
    <row r="21" spans="3:33" ht="82.5" customHeight="1" thickBot="1" x14ac:dyDescent="0.3">
      <c r="C21" s="886"/>
      <c r="D21" s="889"/>
      <c r="E21" s="851"/>
      <c r="F21" s="854"/>
      <c r="G21" s="880"/>
      <c r="H21" s="836"/>
      <c r="I21" s="875"/>
      <c r="J21" s="15" t="s">
        <v>67</v>
      </c>
      <c r="K21" s="47" t="s">
        <v>68</v>
      </c>
      <c r="L21" s="73" t="s">
        <v>24</v>
      </c>
      <c r="M21" s="44">
        <v>0.3</v>
      </c>
      <c r="N21" s="811"/>
      <c r="O21" s="814"/>
      <c r="P21" s="848"/>
      <c r="Q21" s="814"/>
      <c r="R21" s="859"/>
      <c r="S21" s="859"/>
      <c r="T21" s="866"/>
      <c r="U21" s="866"/>
      <c r="V21" s="779"/>
      <c r="W21" s="866"/>
      <c r="X21" s="866"/>
      <c r="Y21" s="779"/>
      <c r="Z21" s="933"/>
      <c r="AA21" s="932"/>
      <c r="AB21" s="11"/>
      <c r="AC21" s="11"/>
      <c r="AD21" s="12"/>
      <c r="AE21" s="1"/>
    </row>
    <row r="22" spans="3:33" ht="89.25" customHeight="1" thickBot="1" x14ac:dyDescent="0.3">
      <c r="C22" s="886"/>
      <c r="D22" s="889"/>
      <c r="E22" s="852"/>
      <c r="F22" s="855"/>
      <c r="G22" s="879"/>
      <c r="H22" s="837"/>
      <c r="I22" s="869"/>
      <c r="J22" s="18" t="s">
        <v>67</v>
      </c>
      <c r="K22" s="48" t="s">
        <v>69</v>
      </c>
      <c r="L22" s="75" t="s">
        <v>24</v>
      </c>
      <c r="M22" s="45">
        <v>0.3</v>
      </c>
      <c r="N22" s="812"/>
      <c r="O22" s="815"/>
      <c r="P22" s="849"/>
      <c r="Q22" s="815"/>
      <c r="R22" s="860"/>
      <c r="S22" s="860"/>
      <c r="T22" s="867"/>
      <c r="U22" s="867"/>
      <c r="V22" s="770"/>
      <c r="W22" s="867"/>
      <c r="X22" s="867"/>
      <c r="Y22" s="770"/>
      <c r="Z22" s="831"/>
      <c r="AA22" s="819"/>
      <c r="AB22" s="11"/>
      <c r="AC22" s="11"/>
      <c r="AD22" s="11"/>
      <c r="AE22" s="1"/>
    </row>
    <row r="23" spans="3:33" ht="168" customHeight="1" thickBot="1" x14ac:dyDescent="0.3">
      <c r="C23" s="887"/>
      <c r="D23" s="890"/>
      <c r="E23" s="355">
        <v>3</v>
      </c>
      <c r="F23" s="356" t="s">
        <v>70</v>
      </c>
      <c r="G23" s="368">
        <v>301</v>
      </c>
      <c r="H23" s="371" t="s">
        <v>71</v>
      </c>
      <c r="I23" s="381">
        <v>0.1</v>
      </c>
      <c r="J23" s="19" t="s">
        <v>72</v>
      </c>
      <c r="K23" s="371" t="s">
        <v>288</v>
      </c>
      <c r="L23" s="73" t="s">
        <v>24</v>
      </c>
      <c r="M23" s="44">
        <v>1</v>
      </c>
      <c r="N23" s="45" t="s">
        <v>73</v>
      </c>
      <c r="O23" s="33" t="s">
        <v>74</v>
      </c>
      <c r="P23" s="44" t="s">
        <v>75</v>
      </c>
      <c r="Q23" s="33" t="s">
        <v>358</v>
      </c>
      <c r="R23" s="34" t="s">
        <v>76</v>
      </c>
      <c r="S23" s="34" t="s">
        <v>229</v>
      </c>
      <c r="T23" s="34">
        <v>0</v>
      </c>
      <c r="U23" s="34">
        <v>0</v>
      </c>
      <c r="V23" s="357" t="e">
        <f t="shared" si="0"/>
        <v>#DIV/0!</v>
      </c>
      <c r="W23" s="88">
        <v>0.3</v>
      </c>
      <c r="X23" s="88">
        <v>0.3</v>
      </c>
      <c r="Y23" s="357">
        <f t="shared" si="1"/>
        <v>1</v>
      </c>
      <c r="Z23" s="310" t="s">
        <v>482</v>
      </c>
      <c r="AA23" s="311" t="s">
        <v>481</v>
      </c>
      <c r="AB23" s="11"/>
      <c r="AC23" s="11"/>
      <c r="AD23" s="12"/>
      <c r="AE23" s="76"/>
    </row>
    <row r="24" spans="3:33" ht="409.5" customHeight="1" thickBot="1" x14ac:dyDescent="0.3">
      <c r="C24" s="885" t="s">
        <v>18</v>
      </c>
      <c r="D24" s="888" t="s">
        <v>19</v>
      </c>
      <c r="E24" s="850">
        <v>3</v>
      </c>
      <c r="F24" s="853" t="s">
        <v>70</v>
      </c>
      <c r="G24" s="832">
        <v>302</v>
      </c>
      <c r="H24" s="835" t="s">
        <v>78</v>
      </c>
      <c r="I24" s="868">
        <v>0.1</v>
      </c>
      <c r="J24" s="841" t="s">
        <v>79</v>
      </c>
      <c r="K24" s="871" t="s">
        <v>80</v>
      </c>
      <c r="L24" s="873" t="s">
        <v>81</v>
      </c>
      <c r="M24" s="810">
        <v>0.5</v>
      </c>
      <c r="N24" s="45" t="s">
        <v>82</v>
      </c>
      <c r="O24" s="38" t="s">
        <v>83</v>
      </c>
      <c r="P24" s="45" t="s">
        <v>84</v>
      </c>
      <c r="Q24" s="38" t="s">
        <v>85</v>
      </c>
      <c r="R24" s="35" t="s">
        <v>359</v>
      </c>
      <c r="S24" s="35" t="s">
        <v>77</v>
      </c>
      <c r="T24" s="78">
        <v>7.0000000000000007E-2</v>
      </c>
      <c r="U24" s="78">
        <v>0.09</v>
      </c>
      <c r="V24" s="50">
        <f t="shared" si="0"/>
        <v>1.2857142857142856</v>
      </c>
      <c r="W24" s="87">
        <f>63%+T24</f>
        <v>0.7</v>
      </c>
      <c r="X24" s="87">
        <f>60%+U24</f>
        <v>0.69</v>
      </c>
      <c r="Y24" s="50">
        <f t="shared" si="1"/>
        <v>0.98571428571428565</v>
      </c>
      <c r="Z24" s="257" t="s">
        <v>507</v>
      </c>
      <c r="AA24" s="396" t="s">
        <v>554</v>
      </c>
      <c r="AB24" s="11"/>
      <c r="AC24" s="11"/>
      <c r="AD24" s="11"/>
      <c r="AE24" s="1"/>
    </row>
    <row r="25" spans="3:33" ht="165.75" customHeight="1" thickBot="1" x14ac:dyDescent="0.3">
      <c r="C25" s="886"/>
      <c r="D25" s="889"/>
      <c r="E25" s="851"/>
      <c r="F25" s="854"/>
      <c r="G25" s="834"/>
      <c r="H25" s="837"/>
      <c r="I25" s="869"/>
      <c r="J25" s="843"/>
      <c r="K25" s="872"/>
      <c r="L25" s="874"/>
      <c r="M25" s="812"/>
      <c r="N25" s="45" t="s">
        <v>87</v>
      </c>
      <c r="O25" s="38" t="s">
        <v>88</v>
      </c>
      <c r="P25" s="45" t="s">
        <v>89</v>
      </c>
      <c r="Q25" s="38" t="s">
        <v>360</v>
      </c>
      <c r="R25" s="35" t="s">
        <v>86</v>
      </c>
      <c r="S25" s="35" t="s">
        <v>77</v>
      </c>
      <c r="T25" s="78">
        <v>0.27</v>
      </c>
      <c r="U25" s="35">
        <v>0</v>
      </c>
      <c r="V25" s="50">
        <f t="shared" si="0"/>
        <v>0</v>
      </c>
      <c r="W25" s="35">
        <f>13.2%+T25</f>
        <v>0.40200000000000002</v>
      </c>
      <c r="X25" s="35">
        <f>+U25</f>
        <v>0</v>
      </c>
      <c r="Y25" s="50">
        <f t="shared" si="1"/>
        <v>0</v>
      </c>
      <c r="Z25" s="257" t="s">
        <v>484</v>
      </c>
      <c r="AA25" s="254" t="s">
        <v>483</v>
      </c>
      <c r="AB25" s="11"/>
      <c r="AC25" s="11"/>
      <c r="AD25" s="11"/>
      <c r="AE25" s="1"/>
    </row>
    <row r="26" spans="3:33" ht="152.25" customHeight="1" thickBot="1" x14ac:dyDescent="0.3">
      <c r="C26" s="886"/>
      <c r="D26" s="889"/>
      <c r="E26" s="851"/>
      <c r="F26" s="854"/>
      <c r="G26" s="832">
        <v>303</v>
      </c>
      <c r="H26" s="835" t="s">
        <v>90</v>
      </c>
      <c r="I26" s="868">
        <v>0.3</v>
      </c>
      <c r="J26" s="841" t="s">
        <v>91</v>
      </c>
      <c r="K26" s="835" t="s">
        <v>289</v>
      </c>
      <c r="L26" s="844" t="s">
        <v>81</v>
      </c>
      <c r="M26" s="847">
        <v>1</v>
      </c>
      <c r="N26" s="810" t="s">
        <v>92</v>
      </c>
      <c r="O26" s="813" t="s">
        <v>93</v>
      </c>
      <c r="P26" s="44" t="s">
        <v>94</v>
      </c>
      <c r="Q26" s="33" t="s">
        <v>423</v>
      </c>
      <c r="R26" s="34" t="s">
        <v>95</v>
      </c>
      <c r="S26" s="34" t="s">
        <v>96</v>
      </c>
      <c r="T26" s="34">
        <v>0.7</v>
      </c>
      <c r="U26" s="79">
        <v>0.48530000000000001</v>
      </c>
      <c r="V26" s="50">
        <f t="shared" si="0"/>
        <v>0.69328571428571439</v>
      </c>
      <c r="W26" s="34">
        <v>0.7</v>
      </c>
      <c r="X26" s="79">
        <v>0.51139999999999997</v>
      </c>
      <c r="Y26" s="50">
        <f t="shared" si="1"/>
        <v>0.73057142857142854</v>
      </c>
      <c r="Z26" s="253" t="s">
        <v>508</v>
      </c>
      <c r="AA26" s="254" t="s">
        <v>494</v>
      </c>
      <c r="AB26" s="11"/>
      <c r="AC26" s="11"/>
      <c r="AD26" s="80" t="s">
        <v>299</v>
      </c>
      <c r="AE26" s="1"/>
    </row>
    <row r="27" spans="3:33" ht="156.75" customHeight="1" thickBot="1" x14ac:dyDescent="0.3">
      <c r="C27" s="886"/>
      <c r="D27" s="889"/>
      <c r="E27" s="851"/>
      <c r="F27" s="854"/>
      <c r="G27" s="833"/>
      <c r="H27" s="836"/>
      <c r="I27" s="875"/>
      <c r="J27" s="842"/>
      <c r="K27" s="836"/>
      <c r="L27" s="845"/>
      <c r="M27" s="848"/>
      <c r="N27" s="812"/>
      <c r="O27" s="815"/>
      <c r="P27" s="44" t="s">
        <v>97</v>
      </c>
      <c r="Q27" s="33" t="s">
        <v>353</v>
      </c>
      <c r="R27" s="34" t="s">
        <v>95</v>
      </c>
      <c r="S27" s="34" t="s">
        <v>96</v>
      </c>
      <c r="T27" s="34">
        <v>1</v>
      </c>
      <c r="U27" s="79">
        <v>0.62939999999999996</v>
      </c>
      <c r="V27" s="105">
        <f t="shared" si="0"/>
        <v>0.62939999999999996</v>
      </c>
      <c r="W27" s="34">
        <v>1</v>
      </c>
      <c r="X27" s="79">
        <v>0.75600000000000001</v>
      </c>
      <c r="Y27" s="50">
        <f t="shared" si="1"/>
        <v>0.75600000000000001</v>
      </c>
      <c r="Z27" s="253" t="s">
        <v>496</v>
      </c>
      <c r="AA27" s="254" t="s">
        <v>509</v>
      </c>
      <c r="AB27" s="11"/>
      <c r="AC27" s="11"/>
      <c r="AD27" s="12"/>
      <c r="AE27" s="318">
        <v>36767</v>
      </c>
      <c r="AF27" s="6">
        <v>23141</v>
      </c>
      <c r="AG27" s="319">
        <f>+AF27/AE27</f>
        <v>0.62939592569423664</v>
      </c>
    </row>
    <row r="28" spans="3:33" ht="143.25" customHeight="1" thickBot="1" x14ac:dyDescent="0.3">
      <c r="C28" s="886"/>
      <c r="D28" s="889"/>
      <c r="E28" s="851"/>
      <c r="F28" s="854"/>
      <c r="G28" s="833"/>
      <c r="H28" s="836"/>
      <c r="I28" s="875"/>
      <c r="J28" s="842"/>
      <c r="K28" s="836"/>
      <c r="L28" s="845"/>
      <c r="M28" s="848"/>
      <c r="N28" s="64" t="s">
        <v>98</v>
      </c>
      <c r="O28" s="33" t="s">
        <v>354</v>
      </c>
      <c r="P28" s="44" t="s">
        <v>99</v>
      </c>
      <c r="Q28" s="33" t="s">
        <v>100</v>
      </c>
      <c r="R28" s="34" t="s">
        <v>101</v>
      </c>
      <c r="S28" s="34" t="s">
        <v>42</v>
      </c>
      <c r="T28" s="36">
        <v>1</v>
      </c>
      <c r="U28" s="36">
        <v>0</v>
      </c>
      <c r="V28" s="50">
        <f t="shared" si="0"/>
        <v>0</v>
      </c>
      <c r="W28" s="36">
        <f>2+T28</f>
        <v>3</v>
      </c>
      <c r="X28" s="36">
        <f>1+U28</f>
        <v>1</v>
      </c>
      <c r="Y28" s="50">
        <f t="shared" si="1"/>
        <v>0.33333333333333331</v>
      </c>
      <c r="Z28" s="248" t="s">
        <v>510</v>
      </c>
      <c r="AA28" s="254" t="s">
        <v>497</v>
      </c>
      <c r="AB28" s="11"/>
      <c r="AC28" s="11"/>
      <c r="AD28" s="12"/>
      <c r="AE28" s="1"/>
    </row>
    <row r="29" spans="3:33" ht="349.5" customHeight="1" thickBot="1" x14ac:dyDescent="0.3">
      <c r="C29" s="886"/>
      <c r="D29" s="889"/>
      <c r="E29" s="851"/>
      <c r="F29" s="854"/>
      <c r="G29" s="833"/>
      <c r="H29" s="836"/>
      <c r="I29" s="875"/>
      <c r="J29" s="842"/>
      <c r="K29" s="836"/>
      <c r="L29" s="845"/>
      <c r="M29" s="848"/>
      <c r="N29" s="383" t="s">
        <v>102</v>
      </c>
      <c r="O29" s="379" t="s">
        <v>355</v>
      </c>
      <c r="P29" s="44" t="s">
        <v>103</v>
      </c>
      <c r="Q29" s="33" t="s">
        <v>104</v>
      </c>
      <c r="R29" s="34" t="s">
        <v>105</v>
      </c>
      <c r="S29" s="34" t="s">
        <v>42</v>
      </c>
      <c r="T29" s="36">
        <v>8</v>
      </c>
      <c r="U29" s="36">
        <v>18</v>
      </c>
      <c r="V29" s="50">
        <f t="shared" si="0"/>
        <v>2.25</v>
      </c>
      <c r="W29" s="36">
        <f>24+T29</f>
        <v>32</v>
      </c>
      <c r="X29" s="36">
        <f>10+U29</f>
        <v>28</v>
      </c>
      <c r="Y29" s="50">
        <f t="shared" si="1"/>
        <v>0.875</v>
      </c>
      <c r="Z29" s="248" t="s">
        <v>511</v>
      </c>
      <c r="AA29" s="315" t="s">
        <v>498</v>
      </c>
      <c r="AB29" s="11"/>
      <c r="AC29" s="11"/>
      <c r="AD29" s="12"/>
      <c r="AE29" s="1"/>
    </row>
    <row r="30" spans="3:33" ht="179.25" customHeight="1" thickBot="1" x14ac:dyDescent="0.3">
      <c r="C30" s="886"/>
      <c r="D30" s="889"/>
      <c r="E30" s="851"/>
      <c r="F30" s="854"/>
      <c r="G30" s="834"/>
      <c r="H30" s="837"/>
      <c r="I30" s="869"/>
      <c r="J30" s="843"/>
      <c r="K30" s="837"/>
      <c r="L30" s="846"/>
      <c r="M30" s="849"/>
      <c r="N30" s="45" t="s">
        <v>326</v>
      </c>
      <c r="O30" s="33" t="s">
        <v>107</v>
      </c>
      <c r="P30" s="44" t="s">
        <v>327</v>
      </c>
      <c r="Q30" s="33" t="s">
        <v>109</v>
      </c>
      <c r="R30" s="34" t="s">
        <v>328</v>
      </c>
      <c r="S30" s="34" t="s">
        <v>42</v>
      </c>
      <c r="T30" s="36">
        <v>0</v>
      </c>
      <c r="U30" s="36">
        <v>0</v>
      </c>
      <c r="V30" s="50" t="e">
        <f>+U30/T30</f>
        <v>#DIV/0!</v>
      </c>
      <c r="W30" s="36">
        <v>5</v>
      </c>
      <c r="X30" s="36">
        <f>+U30</f>
        <v>0</v>
      </c>
      <c r="Y30" s="50">
        <f t="shared" si="1"/>
        <v>0</v>
      </c>
      <c r="Z30" s="308" t="s">
        <v>472</v>
      </c>
      <c r="AA30" s="309" t="s">
        <v>293</v>
      </c>
      <c r="AB30" s="11"/>
      <c r="AC30" s="11"/>
      <c r="AD30" s="12"/>
      <c r="AE30" s="1"/>
    </row>
    <row r="31" spans="3:33" ht="203.25" customHeight="1" thickBot="1" x14ac:dyDescent="0.3">
      <c r="C31" s="886"/>
      <c r="D31" s="889"/>
      <c r="E31" s="851"/>
      <c r="F31" s="854"/>
      <c r="G31" s="832">
        <v>304</v>
      </c>
      <c r="H31" s="835" t="s">
        <v>110</v>
      </c>
      <c r="I31" s="838">
        <v>0.1</v>
      </c>
      <c r="J31" s="841" t="s">
        <v>111</v>
      </c>
      <c r="K31" s="835" t="s">
        <v>290</v>
      </c>
      <c r="L31" s="844" t="s">
        <v>81</v>
      </c>
      <c r="M31" s="847">
        <v>1</v>
      </c>
      <c r="N31" s="45" t="s">
        <v>112</v>
      </c>
      <c r="O31" s="33" t="s">
        <v>113</v>
      </c>
      <c r="P31" s="44" t="s">
        <v>114</v>
      </c>
      <c r="Q31" s="33" t="s">
        <v>115</v>
      </c>
      <c r="R31" s="34" t="s">
        <v>116</v>
      </c>
      <c r="S31" s="34" t="s">
        <v>42</v>
      </c>
      <c r="T31" s="36">
        <v>0</v>
      </c>
      <c r="U31" s="36">
        <v>0</v>
      </c>
      <c r="V31" s="50" t="e">
        <f t="shared" si="0"/>
        <v>#DIV/0!</v>
      </c>
      <c r="W31" s="36">
        <v>0</v>
      </c>
      <c r="X31" s="36">
        <v>0</v>
      </c>
      <c r="Y31" s="50" t="e">
        <f t="shared" si="1"/>
        <v>#DIV/0!</v>
      </c>
      <c r="Z31" s="248" t="s">
        <v>512</v>
      </c>
      <c r="AA31" s="254" t="s">
        <v>513</v>
      </c>
      <c r="AB31" s="11"/>
      <c r="AC31" s="11"/>
      <c r="AD31" s="12"/>
      <c r="AE31" s="1"/>
    </row>
    <row r="32" spans="3:33" ht="155.25" customHeight="1" thickBot="1" x14ac:dyDescent="0.3">
      <c r="C32" s="886"/>
      <c r="D32" s="889"/>
      <c r="E32" s="851"/>
      <c r="F32" s="854"/>
      <c r="G32" s="833"/>
      <c r="H32" s="836"/>
      <c r="I32" s="839"/>
      <c r="J32" s="842"/>
      <c r="K32" s="836"/>
      <c r="L32" s="845"/>
      <c r="M32" s="848"/>
      <c r="N32" s="810" t="s">
        <v>117</v>
      </c>
      <c r="O32" s="813" t="s">
        <v>118</v>
      </c>
      <c r="P32" s="44" t="s">
        <v>119</v>
      </c>
      <c r="Q32" s="33" t="s">
        <v>347</v>
      </c>
      <c r="R32" s="34" t="s">
        <v>348</v>
      </c>
      <c r="S32" s="34" t="s">
        <v>42</v>
      </c>
      <c r="T32" s="36">
        <v>0</v>
      </c>
      <c r="U32" s="36">
        <v>0</v>
      </c>
      <c r="V32" s="50" t="e">
        <f t="shared" si="0"/>
        <v>#DIV/0!</v>
      </c>
      <c r="W32" s="36">
        <v>1</v>
      </c>
      <c r="X32" s="36">
        <f>+U32</f>
        <v>0</v>
      </c>
      <c r="Y32" s="50">
        <f t="shared" si="1"/>
        <v>0</v>
      </c>
      <c r="Z32" s="248" t="s">
        <v>466</v>
      </c>
      <c r="AA32" s="254" t="s">
        <v>514</v>
      </c>
      <c r="AB32" s="11"/>
      <c r="AC32" s="11"/>
      <c r="AD32" s="12"/>
      <c r="AE32" s="1"/>
    </row>
    <row r="33" spans="3:33" ht="153" customHeight="1" thickBot="1" x14ac:dyDescent="0.3">
      <c r="C33" s="887"/>
      <c r="D33" s="890"/>
      <c r="E33" s="852"/>
      <c r="F33" s="855"/>
      <c r="G33" s="834"/>
      <c r="H33" s="837"/>
      <c r="I33" s="840"/>
      <c r="J33" s="843"/>
      <c r="K33" s="837"/>
      <c r="L33" s="846"/>
      <c r="M33" s="849"/>
      <c r="N33" s="812"/>
      <c r="O33" s="815"/>
      <c r="P33" s="44" t="s">
        <v>120</v>
      </c>
      <c r="Q33" s="33" t="s">
        <v>121</v>
      </c>
      <c r="R33" s="34" t="s">
        <v>349</v>
      </c>
      <c r="S33" s="34" t="s">
        <v>42</v>
      </c>
      <c r="T33" s="36">
        <v>0</v>
      </c>
      <c r="U33" s="36">
        <v>5</v>
      </c>
      <c r="V33" s="357">
        <v>1</v>
      </c>
      <c r="W33" s="36">
        <v>2</v>
      </c>
      <c r="X33" s="36">
        <f>+U33</f>
        <v>5</v>
      </c>
      <c r="Y33" s="357">
        <f t="shared" si="1"/>
        <v>2.5</v>
      </c>
      <c r="Z33" s="248" t="s">
        <v>487</v>
      </c>
      <c r="AA33" s="315" t="s">
        <v>515</v>
      </c>
      <c r="AB33" s="11"/>
      <c r="AC33" s="11"/>
      <c r="AD33" s="12"/>
      <c r="AE33" s="1"/>
    </row>
    <row r="34" spans="3:33" ht="121.5" customHeight="1" thickBot="1" x14ac:dyDescent="0.3">
      <c r="C34" s="885" t="s">
        <v>18</v>
      </c>
      <c r="D34" s="888" t="s">
        <v>19</v>
      </c>
      <c r="E34" s="850">
        <v>3</v>
      </c>
      <c r="F34" s="853" t="s">
        <v>70</v>
      </c>
      <c r="G34" s="833">
        <v>305</v>
      </c>
      <c r="H34" s="836" t="s">
        <v>122</v>
      </c>
      <c r="I34" s="839">
        <v>0.1</v>
      </c>
      <c r="J34" s="366" t="s">
        <v>123</v>
      </c>
      <c r="K34" s="370" t="s">
        <v>124</v>
      </c>
      <c r="L34" s="375" t="s">
        <v>81</v>
      </c>
      <c r="M34" s="378">
        <v>0.3</v>
      </c>
      <c r="N34" s="811" t="s">
        <v>125</v>
      </c>
      <c r="O34" s="859" t="s">
        <v>126</v>
      </c>
      <c r="P34" s="378" t="s">
        <v>127</v>
      </c>
      <c r="Q34" s="379" t="s">
        <v>356</v>
      </c>
      <c r="R34" s="380" t="s">
        <v>128</v>
      </c>
      <c r="S34" s="380" t="s">
        <v>42</v>
      </c>
      <c r="T34" s="382">
        <v>0</v>
      </c>
      <c r="U34" s="382">
        <v>1</v>
      </c>
      <c r="V34" s="354">
        <v>1</v>
      </c>
      <c r="W34" s="382">
        <v>4</v>
      </c>
      <c r="X34" s="382">
        <f>2+U34</f>
        <v>3</v>
      </c>
      <c r="Y34" s="354">
        <f t="shared" si="1"/>
        <v>0.75</v>
      </c>
      <c r="Z34" s="393" t="s">
        <v>500</v>
      </c>
      <c r="AA34" s="316" t="s">
        <v>292</v>
      </c>
      <c r="AB34" s="11"/>
      <c r="AC34" s="11"/>
      <c r="AD34" s="12"/>
      <c r="AE34" s="1"/>
    </row>
    <row r="35" spans="3:33" ht="291" customHeight="1" thickBot="1" x14ac:dyDescent="0.3">
      <c r="C35" s="886"/>
      <c r="D35" s="889"/>
      <c r="E35" s="851"/>
      <c r="F35" s="854"/>
      <c r="G35" s="833"/>
      <c r="H35" s="836"/>
      <c r="I35" s="839"/>
      <c r="J35" s="365" t="s">
        <v>129</v>
      </c>
      <c r="K35" s="369" t="s">
        <v>130</v>
      </c>
      <c r="L35" s="374" t="s">
        <v>81</v>
      </c>
      <c r="M35" s="376">
        <v>0.2</v>
      </c>
      <c r="N35" s="811"/>
      <c r="O35" s="859"/>
      <c r="P35" s="44" t="s">
        <v>131</v>
      </c>
      <c r="Q35" s="33" t="s">
        <v>132</v>
      </c>
      <c r="R35" s="34" t="s">
        <v>133</v>
      </c>
      <c r="S35" s="34" t="s">
        <v>42</v>
      </c>
      <c r="T35" s="36">
        <v>6</v>
      </c>
      <c r="U35" s="36">
        <v>6</v>
      </c>
      <c r="V35" s="50">
        <f t="shared" si="0"/>
        <v>1</v>
      </c>
      <c r="W35" s="36">
        <f>15+T35</f>
        <v>21</v>
      </c>
      <c r="X35" s="36">
        <f>3+U35</f>
        <v>9</v>
      </c>
      <c r="Y35" s="50">
        <f t="shared" si="1"/>
        <v>0.42857142857142855</v>
      </c>
      <c r="Z35" s="248" t="s">
        <v>516</v>
      </c>
      <c r="AA35" s="249" t="s">
        <v>292</v>
      </c>
      <c r="AB35" s="11"/>
      <c r="AC35" s="11"/>
      <c r="AD35" s="12"/>
      <c r="AE35" s="1"/>
    </row>
    <row r="36" spans="3:33" ht="409.5" customHeight="1" x14ac:dyDescent="0.25">
      <c r="C36" s="886"/>
      <c r="D36" s="889"/>
      <c r="E36" s="851"/>
      <c r="F36" s="854"/>
      <c r="G36" s="833"/>
      <c r="H36" s="836"/>
      <c r="I36" s="839"/>
      <c r="J36" s="841" t="s">
        <v>134</v>
      </c>
      <c r="K36" s="934" t="s">
        <v>135</v>
      </c>
      <c r="L36" s="844" t="s">
        <v>81</v>
      </c>
      <c r="M36" s="847">
        <v>0.2</v>
      </c>
      <c r="N36" s="811"/>
      <c r="O36" s="859"/>
      <c r="P36" s="847" t="s">
        <v>136</v>
      </c>
      <c r="Q36" s="858" t="s">
        <v>137</v>
      </c>
      <c r="R36" s="858" t="s">
        <v>137</v>
      </c>
      <c r="S36" s="858" t="s">
        <v>42</v>
      </c>
      <c r="T36" s="865">
        <v>50</v>
      </c>
      <c r="U36" s="865">
        <v>25</v>
      </c>
      <c r="V36" s="769">
        <f t="shared" si="0"/>
        <v>0.5</v>
      </c>
      <c r="W36" s="865">
        <f>132+T36</f>
        <v>182</v>
      </c>
      <c r="X36" s="865">
        <f>23+U36</f>
        <v>48</v>
      </c>
      <c r="Y36" s="769">
        <f t="shared" si="1"/>
        <v>0.26373626373626374</v>
      </c>
      <c r="Z36" s="386" t="s">
        <v>547</v>
      </c>
      <c r="AA36" s="313" t="s">
        <v>546</v>
      </c>
      <c r="AB36" s="11"/>
      <c r="AC36" s="11"/>
      <c r="AD36" s="12"/>
      <c r="AE36" s="1"/>
    </row>
    <row r="37" spans="3:33" ht="227.25" customHeight="1" thickBot="1" x14ac:dyDescent="0.3">
      <c r="C37" s="886"/>
      <c r="D37" s="889"/>
      <c r="E37" s="851"/>
      <c r="F37" s="854"/>
      <c r="G37" s="833"/>
      <c r="H37" s="836"/>
      <c r="I37" s="839"/>
      <c r="J37" s="843"/>
      <c r="K37" s="935"/>
      <c r="L37" s="846"/>
      <c r="M37" s="849"/>
      <c r="N37" s="812"/>
      <c r="O37" s="860"/>
      <c r="P37" s="849"/>
      <c r="Q37" s="860"/>
      <c r="R37" s="860"/>
      <c r="S37" s="860"/>
      <c r="T37" s="867"/>
      <c r="U37" s="867"/>
      <c r="V37" s="770"/>
      <c r="W37" s="867"/>
      <c r="X37" s="867"/>
      <c r="Y37" s="770"/>
      <c r="Z37" s="387" t="s">
        <v>548</v>
      </c>
      <c r="AA37" s="320" t="s">
        <v>545</v>
      </c>
      <c r="AB37" s="11"/>
      <c r="AC37" s="11"/>
      <c r="AD37" s="12"/>
      <c r="AE37" s="1"/>
    </row>
    <row r="38" spans="3:33" ht="255.75" customHeight="1" thickBot="1" x14ac:dyDescent="0.3">
      <c r="C38" s="886"/>
      <c r="D38" s="889"/>
      <c r="E38" s="851"/>
      <c r="F38" s="854"/>
      <c r="G38" s="834"/>
      <c r="H38" s="837"/>
      <c r="I38" s="840"/>
      <c r="J38" s="14" t="s">
        <v>138</v>
      </c>
      <c r="K38" s="369" t="s">
        <v>139</v>
      </c>
      <c r="L38" s="72" t="s">
        <v>81</v>
      </c>
      <c r="M38" s="376">
        <v>0.3</v>
      </c>
      <c r="N38" s="383" t="s">
        <v>140</v>
      </c>
      <c r="O38" s="379" t="s">
        <v>141</v>
      </c>
      <c r="P38" s="377" t="s">
        <v>142</v>
      </c>
      <c r="Q38" s="33" t="s">
        <v>357</v>
      </c>
      <c r="R38" s="34" t="s">
        <v>143</v>
      </c>
      <c r="S38" s="34" t="s">
        <v>42</v>
      </c>
      <c r="T38" s="36">
        <v>0</v>
      </c>
      <c r="U38" s="36">
        <v>0</v>
      </c>
      <c r="V38" s="50" t="e">
        <f t="shared" si="0"/>
        <v>#DIV/0!</v>
      </c>
      <c r="W38" s="36">
        <v>1</v>
      </c>
      <c r="X38" s="36">
        <f>+U38</f>
        <v>0</v>
      </c>
      <c r="Y38" s="50">
        <f t="shared" si="1"/>
        <v>0</v>
      </c>
      <c r="Z38" s="248" t="s">
        <v>520</v>
      </c>
      <c r="AA38" s="254" t="s">
        <v>521</v>
      </c>
      <c r="AB38" s="11"/>
      <c r="AC38" s="11"/>
      <c r="AD38" s="12"/>
      <c r="AE38" s="1"/>
    </row>
    <row r="39" spans="3:33" ht="62.25" customHeight="1" thickBot="1" x14ac:dyDescent="0.3">
      <c r="C39" s="886"/>
      <c r="D39" s="889"/>
      <c r="E39" s="851"/>
      <c r="F39" s="854"/>
      <c r="G39" s="832">
        <v>306</v>
      </c>
      <c r="H39" s="835" t="s">
        <v>284</v>
      </c>
      <c r="I39" s="838">
        <v>0.05</v>
      </c>
      <c r="J39" s="365" t="s">
        <v>144</v>
      </c>
      <c r="K39" s="369" t="s">
        <v>145</v>
      </c>
      <c r="L39" s="72" t="s">
        <v>81</v>
      </c>
      <c r="M39" s="376">
        <v>0.35</v>
      </c>
      <c r="N39" s="810" t="s">
        <v>146</v>
      </c>
      <c r="O39" s="813" t="s">
        <v>147</v>
      </c>
      <c r="P39" s="847" t="s">
        <v>148</v>
      </c>
      <c r="Q39" s="813" t="s">
        <v>149</v>
      </c>
      <c r="R39" s="858" t="s">
        <v>150</v>
      </c>
      <c r="S39" s="858" t="s">
        <v>42</v>
      </c>
      <c r="T39" s="865">
        <v>1</v>
      </c>
      <c r="U39" s="865">
        <v>0</v>
      </c>
      <c r="V39" s="769">
        <f t="shared" si="0"/>
        <v>0</v>
      </c>
      <c r="W39" s="865">
        <f>1+T39</f>
        <v>2</v>
      </c>
      <c r="X39" s="865">
        <f>+U39</f>
        <v>0</v>
      </c>
      <c r="Y39" s="769">
        <f t="shared" si="1"/>
        <v>0</v>
      </c>
      <c r="Z39" s="830" t="s">
        <v>522</v>
      </c>
      <c r="AA39" s="928" t="s">
        <v>523</v>
      </c>
      <c r="AB39" s="11"/>
      <c r="AC39" s="11"/>
      <c r="AD39" s="12"/>
      <c r="AE39" s="1"/>
    </row>
    <row r="40" spans="3:33" ht="64.5" customHeight="1" thickBot="1" x14ac:dyDescent="0.3">
      <c r="C40" s="886"/>
      <c r="D40" s="889"/>
      <c r="E40" s="851"/>
      <c r="F40" s="854"/>
      <c r="G40" s="833"/>
      <c r="H40" s="836"/>
      <c r="I40" s="839"/>
      <c r="J40" s="14" t="s">
        <v>151</v>
      </c>
      <c r="K40" s="47" t="s">
        <v>152</v>
      </c>
      <c r="L40" s="72" t="s">
        <v>81</v>
      </c>
      <c r="M40" s="44">
        <v>0.35</v>
      </c>
      <c r="N40" s="811"/>
      <c r="O40" s="814"/>
      <c r="P40" s="848"/>
      <c r="Q40" s="814"/>
      <c r="R40" s="859"/>
      <c r="S40" s="859"/>
      <c r="T40" s="866"/>
      <c r="U40" s="866"/>
      <c r="V40" s="779"/>
      <c r="W40" s="866"/>
      <c r="X40" s="866"/>
      <c r="Y40" s="779"/>
      <c r="Z40" s="933"/>
      <c r="AA40" s="928"/>
      <c r="AB40" s="11"/>
      <c r="AC40" s="11"/>
      <c r="AD40" s="12"/>
      <c r="AE40" s="1"/>
    </row>
    <row r="41" spans="3:33" ht="98.25" customHeight="1" thickBot="1" x14ac:dyDescent="0.3">
      <c r="C41" s="886"/>
      <c r="D41" s="889"/>
      <c r="E41" s="851"/>
      <c r="F41" s="854"/>
      <c r="G41" s="834"/>
      <c r="H41" s="837"/>
      <c r="I41" s="840"/>
      <c r="J41" s="367" t="s">
        <v>153</v>
      </c>
      <c r="K41" s="371" t="s">
        <v>154</v>
      </c>
      <c r="L41" s="375" t="s">
        <v>81</v>
      </c>
      <c r="M41" s="377">
        <v>0.3</v>
      </c>
      <c r="N41" s="812"/>
      <c r="O41" s="815"/>
      <c r="P41" s="849"/>
      <c r="Q41" s="815"/>
      <c r="R41" s="860"/>
      <c r="S41" s="860"/>
      <c r="T41" s="867"/>
      <c r="U41" s="867"/>
      <c r="V41" s="770"/>
      <c r="W41" s="867"/>
      <c r="X41" s="867"/>
      <c r="Y41" s="770"/>
      <c r="Z41" s="831"/>
      <c r="AA41" s="929"/>
      <c r="AB41" s="11"/>
      <c r="AC41" s="11"/>
      <c r="AD41" s="12"/>
      <c r="AE41" s="1"/>
    </row>
    <row r="42" spans="3:33" ht="390" customHeight="1" thickBot="1" x14ac:dyDescent="0.3">
      <c r="C42" s="886"/>
      <c r="D42" s="889"/>
      <c r="E42" s="851"/>
      <c r="F42" s="854"/>
      <c r="G42" s="95">
        <v>307</v>
      </c>
      <c r="H42" s="369" t="s">
        <v>285</v>
      </c>
      <c r="I42" s="384">
        <v>0.1</v>
      </c>
      <c r="J42" s="102" t="s">
        <v>155</v>
      </c>
      <c r="K42" s="103" t="s">
        <v>156</v>
      </c>
      <c r="L42" s="104" t="s">
        <v>81</v>
      </c>
      <c r="M42" s="101">
        <v>0.5</v>
      </c>
      <c r="N42" s="45" t="s">
        <v>160</v>
      </c>
      <c r="O42" s="33" t="s">
        <v>346</v>
      </c>
      <c r="P42" s="45" t="s">
        <v>161</v>
      </c>
      <c r="Q42" s="33" t="s">
        <v>162</v>
      </c>
      <c r="R42" s="34" t="s">
        <v>163</v>
      </c>
      <c r="S42" s="34" t="s">
        <v>164</v>
      </c>
      <c r="T42" s="90">
        <v>0.08</v>
      </c>
      <c r="U42" s="39">
        <f>44%+18.6%+12%</f>
        <v>0.746</v>
      </c>
      <c r="V42" s="105">
        <f t="shared" si="0"/>
        <v>9.3249999999999993</v>
      </c>
      <c r="W42" s="89">
        <f>62.6%+T42</f>
        <v>0.70599999999999996</v>
      </c>
      <c r="X42" s="89">
        <f>+U42</f>
        <v>0.746</v>
      </c>
      <c r="Y42" s="50">
        <f t="shared" si="1"/>
        <v>1.0566572237960341</v>
      </c>
      <c r="Z42" s="248" t="s">
        <v>524</v>
      </c>
      <c r="AA42" s="391" t="s">
        <v>525</v>
      </c>
      <c r="AB42" s="11"/>
      <c r="AC42" s="11"/>
      <c r="AD42" s="12"/>
      <c r="AE42" s="1"/>
    </row>
    <row r="43" spans="3:33" ht="114.75" customHeight="1" thickBot="1" x14ac:dyDescent="0.3">
      <c r="C43" s="886" t="s">
        <v>18</v>
      </c>
      <c r="D43" s="889" t="s">
        <v>19</v>
      </c>
      <c r="E43" s="851">
        <v>3</v>
      </c>
      <c r="F43" s="854" t="s">
        <v>70</v>
      </c>
      <c r="G43" s="833">
        <v>307</v>
      </c>
      <c r="H43" s="836" t="s">
        <v>542</v>
      </c>
      <c r="I43" s="358"/>
      <c r="J43" s="841" t="s">
        <v>165</v>
      </c>
      <c r="K43" s="835" t="s">
        <v>291</v>
      </c>
      <c r="L43" s="844" t="s">
        <v>81</v>
      </c>
      <c r="M43" s="847">
        <v>0.5</v>
      </c>
      <c r="N43" s="383" t="s">
        <v>157</v>
      </c>
      <c r="O43" s="379" t="s">
        <v>344</v>
      </c>
      <c r="P43" s="44" t="s">
        <v>158</v>
      </c>
      <c r="Q43" s="33" t="s">
        <v>345</v>
      </c>
      <c r="R43" s="34" t="s">
        <v>159</v>
      </c>
      <c r="S43" s="34" t="s">
        <v>42</v>
      </c>
      <c r="T43" s="36">
        <v>0</v>
      </c>
      <c r="U43" s="36">
        <v>1</v>
      </c>
      <c r="V43" s="50">
        <v>1</v>
      </c>
      <c r="W43" s="40">
        <v>0</v>
      </c>
      <c r="X43" s="40">
        <f>+U43</f>
        <v>1</v>
      </c>
      <c r="Y43" s="50">
        <v>1</v>
      </c>
      <c r="Z43" s="253" t="s">
        <v>526</v>
      </c>
      <c r="AA43" s="249" t="s">
        <v>294</v>
      </c>
      <c r="AB43" s="11"/>
      <c r="AC43" s="11"/>
      <c r="AD43" s="12"/>
      <c r="AE43" s="1"/>
    </row>
    <row r="44" spans="3:33" ht="130.5" customHeight="1" thickBot="1" x14ac:dyDescent="0.3">
      <c r="C44" s="886"/>
      <c r="D44" s="889"/>
      <c r="E44" s="851"/>
      <c r="F44" s="854"/>
      <c r="G44" s="833"/>
      <c r="H44" s="836"/>
      <c r="I44" s="358"/>
      <c r="J44" s="842"/>
      <c r="K44" s="836"/>
      <c r="L44" s="845"/>
      <c r="M44" s="848"/>
      <c r="N44" s="810" t="s">
        <v>166</v>
      </c>
      <c r="O44" s="813" t="s">
        <v>167</v>
      </c>
      <c r="P44" s="44" t="s">
        <v>168</v>
      </c>
      <c r="Q44" s="33" t="s">
        <v>350</v>
      </c>
      <c r="R44" s="34" t="s">
        <v>169</v>
      </c>
      <c r="S44" s="34" t="s">
        <v>42</v>
      </c>
      <c r="T44" s="36">
        <v>0</v>
      </c>
      <c r="U44" s="36">
        <v>0</v>
      </c>
      <c r="V44" s="50" t="e">
        <f t="shared" si="0"/>
        <v>#DIV/0!</v>
      </c>
      <c r="W44" s="36">
        <v>1</v>
      </c>
      <c r="X44" s="36">
        <f>+U44</f>
        <v>0</v>
      </c>
      <c r="Y44" s="50">
        <f t="shared" si="1"/>
        <v>0</v>
      </c>
      <c r="Z44" s="248" t="s">
        <v>466</v>
      </c>
      <c r="AA44" s="392" t="s">
        <v>488</v>
      </c>
      <c r="AB44" s="11"/>
      <c r="AC44" s="11"/>
      <c r="AD44" s="12"/>
      <c r="AE44" s="1"/>
    </row>
    <row r="45" spans="3:33" ht="188.25" customHeight="1" thickBot="1" x14ac:dyDescent="0.3">
      <c r="C45" s="886"/>
      <c r="D45" s="889"/>
      <c r="E45" s="851"/>
      <c r="F45" s="854"/>
      <c r="G45" s="834"/>
      <c r="H45" s="837"/>
      <c r="I45" s="359"/>
      <c r="J45" s="843"/>
      <c r="K45" s="837"/>
      <c r="L45" s="846"/>
      <c r="M45" s="849"/>
      <c r="N45" s="812"/>
      <c r="O45" s="815"/>
      <c r="P45" s="44" t="s">
        <v>170</v>
      </c>
      <c r="Q45" s="33" t="s">
        <v>171</v>
      </c>
      <c r="R45" s="34" t="s">
        <v>169</v>
      </c>
      <c r="S45" s="34" t="s">
        <v>42</v>
      </c>
      <c r="T45" s="36">
        <v>0</v>
      </c>
      <c r="U45" s="36">
        <v>0</v>
      </c>
      <c r="V45" s="50" t="e">
        <f t="shared" si="0"/>
        <v>#DIV/0!</v>
      </c>
      <c r="W45" s="36">
        <v>1</v>
      </c>
      <c r="X45" s="36">
        <v>1</v>
      </c>
      <c r="Y45" s="50">
        <f t="shared" si="1"/>
        <v>1</v>
      </c>
      <c r="Z45" s="387" t="s">
        <v>466</v>
      </c>
      <c r="AA45" s="262" t="s">
        <v>292</v>
      </c>
      <c r="AB45" s="11"/>
      <c r="AC45" s="11"/>
      <c r="AD45" s="12"/>
      <c r="AE45" s="1"/>
    </row>
    <row r="46" spans="3:33" ht="208.5" customHeight="1" thickBot="1" x14ac:dyDescent="0.3">
      <c r="C46" s="886"/>
      <c r="D46" s="889"/>
      <c r="E46" s="851"/>
      <c r="F46" s="854"/>
      <c r="G46" s="832">
        <v>308</v>
      </c>
      <c r="H46" s="835" t="s">
        <v>172</v>
      </c>
      <c r="I46" s="838">
        <v>0.1</v>
      </c>
      <c r="J46" s="365" t="s">
        <v>173</v>
      </c>
      <c r="K46" s="369" t="s">
        <v>174</v>
      </c>
      <c r="L46" s="374" t="s">
        <v>81</v>
      </c>
      <c r="M46" s="376">
        <v>0.5</v>
      </c>
      <c r="N46" s="810" t="s">
        <v>175</v>
      </c>
      <c r="O46" s="813" t="s">
        <v>312</v>
      </c>
      <c r="P46" s="44" t="s">
        <v>180</v>
      </c>
      <c r="Q46" s="33" t="s">
        <v>316</v>
      </c>
      <c r="R46" s="34" t="s">
        <v>314</v>
      </c>
      <c r="S46" s="34" t="s">
        <v>164</v>
      </c>
      <c r="T46" s="88">
        <v>0</v>
      </c>
      <c r="U46" s="88">
        <v>0</v>
      </c>
      <c r="V46" s="50" t="e">
        <f t="shared" si="0"/>
        <v>#DIV/0!</v>
      </c>
      <c r="W46" s="90">
        <v>1</v>
      </c>
      <c r="X46" s="90">
        <f>14%+U46</f>
        <v>0.14000000000000001</v>
      </c>
      <c r="Y46" s="50">
        <f t="shared" si="1"/>
        <v>0.14000000000000001</v>
      </c>
      <c r="Z46" s="253" t="s">
        <v>527</v>
      </c>
      <c r="AA46" s="254" t="s">
        <v>528</v>
      </c>
      <c r="AB46" s="11"/>
      <c r="AC46" s="11"/>
      <c r="AD46" s="13"/>
      <c r="AE46" s="1"/>
      <c r="AF46" s="77"/>
      <c r="AG46" s="77"/>
    </row>
    <row r="47" spans="3:33" ht="138" customHeight="1" thickBot="1" x14ac:dyDescent="0.3">
      <c r="C47" s="886"/>
      <c r="D47" s="889"/>
      <c r="E47" s="851"/>
      <c r="F47" s="854"/>
      <c r="G47" s="833"/>
      <c r="H47" s="836"/>
      <c r="I47" s="839"/>
      <c r="J47" s="841" t="s">
        <v>177</v>
      </c>
      <c r="K47" s="835" t="s">
        <v>178</v>
      </c>
      <c r="L47" s="844" t="s">
        <v>81</v>
      </c>
      <c r="M47" s="847">
        <v>0.5</v>
      </c>
      <c r="N47" s="811"/>
      <c r="O47" s="814"/>
      <c r="P47" s="44" t="s">
        <v>179</v>
      </c>
      <c r="Q47" s="33" t="s">
        <v>313</v>
      </c>
      <c r="R47" s="34" t="s">
        <v>314</v>
      </c>
      <c r="S47" s="34" t="s">
        <v>164</v>
      </c>
      <c r="T47" s="89">
        <v>0</v>
      </c>
      <c r="U47" s="89">
        <v>0</v>
      </c>
      <c r="V47" s="50" t="e">
        <f t="shared" si="0"/>
        <v>#DIV/0!</v>
      </c>
      <c r="W47" s="39">
        <v>1</v>
      </c>
      <c r="X47" s="39">
        <v>1</v>
      </c>
      <c r="Y47" s="50">
        <f t="shared" si="1"/>
        <v>1</v>
      </c>
      <c r="Z47" s="248" t="s">
        <v>469</v>
      </c>
      <c r="AA47" s="927" t="s">
        <v>529</v>
      </c>
      <c r="AB47" s="11"/>
      <c r="AC47" s="11"/>
      <c r="AD47" s="13"/>
      <c r="AE47" s="1"/>
    </row>
    <row r="48" spans="3:33" ht="141.75" customHeight="1" thickBot="1" x14ac:dyDescent="0.3">
      <c r="C48" s="886"/>
      <c r="D48" s="889"/>
      <c r="E48" s="851"/>
      <c r="F48" s="854"/>
      <c r="G48" s="833"/>
      <c r="H48" s="836"/>
      <c r="I48" s="839"/>
      <c r="J48" s="842"/>
      <c r="K48" s="836"/>
      <c r="L48" s="845"/>
      <c r="M48" s="848"/>
      <c r="N48" s="811"/>
      <c r="O48" s="814"/>
      <c r="P48" s="44" t="s">
        <v>176</v>
      </c>
      <c r="Q48" s="33" t="s">
        <v>315</v>
      </c>
      <c r="R48" s="34" t="s">
        <v>314</v>
      </c>
      <c r="S48" s="34" t="s">
        <v>164</v>
      </c>
      <c r="T48" s="34">
        <v>0</v>
      </c>
      <c r="U48" s="88">
        <v>0</v>
      </c>
      <c r="V48" s="50" t="e">
        <f t="shared" si="0"/>
        <v>#DIV/0!</v>
      </c>
      <c r="W48" s="34">
        <v>1</v>
      </c>
      <c r="X48" s="34">
        <v>1</v>
      </c>
      <c r="Y48" s="50">
        <f t="shared" si="1"/>
        <v>1</v>
      </c>
      <c r="Z48" s="387" t="s">
        <v>469</v>
      </c>
      <c r="AA48" s="929"/>
      <c r="AB48" s="11"/>
      <c r="AC48" s="11"/>
      <c r="AD48" s="12"/>
      <c r="AE48" s="1"/>
    </row>
    <row r="49" spans="3:31" ht="155.25" customHeight="1" thickBot="1" x14ac:dyDescent="0.3">
      <c r="C49" s="886"/>
      <c r="D49" s="889"/>
      <c r="E49" s="851"/>
      <c r="F49" s="854"/>
      <c r="G49" s="833"/>
      <c r="H49" s="836"/>
      <c r="I49" s="839"/>
      <c r="J49" s="842"/>
      <c r="K49" s="836"/>
      <c r="L49" s="845"/>
      <c r="M49" s="848"/>
      <c r="N49" s="811"/>
      <c r="O49" s="814"/>
      <c r="P49" s="44" t="s">
        <v>183</v>
      </c>
      <c r="Q49" s="379" t="s">
        <v>181</v>
      </c>
      <c r="R49" s="380" t="s">
        <v>317</v>
      </c>
      <c r="S49" s="380" t="s">
        <v>182</v>
      </c>
      <c r="T49" s="380">
        <v>1</v>
      </c>
      <c r="U49" s="380">
        <v>1</v>
      </c>
      <c r="V49" s="50">
        <f>+U49/T49</f>
        <v>1</v>
      </c>
      <c r="W49" s="380">
        <v>1</v>
      </c>
      <c r="X49" s="380">
        <v>1</v>
      </c>
      <c r="Y49" s="50">
        <f>+X49/W49</f>
        <v>1</v>
      </c>
      <c r="Z49" s="388" t="s">
        <v>381</v>
      </c>
      <c r="AA49" s="262" t="s">
        <v>366</v>
      </c>
      <c r="AB49" s="11"/>
      <c r="AC49" s="11"/>
      <c r="AD49" s="12"/>
      <c r="AE49" s="1"/>
    </row>
    <row r="50" spans="3:31" ht="155.25" customHeight="1" thickBot="1" x14ac:dyDescent="0.3">
      <c r="C50" s="886"/>
      <c r="D50" s="889"/>
      <c r="E50" s="851"/>
      <c r="F50" s="854"/>
      <c r="G50" s="833"/>
      <c r="H50" s="836"/>
      <c r="I50" s="839"/>
      <c r="J50" s="842"/>
      <c r="K50" s="836"/>
      <c r="L50" s="845"/>
      <c r="M50" s="848"/>
      <c r="N50" s="812"/>
      <c r="O50" s="815"/>
      <c r="P50" s="377" t="s">
        <v>318</v>
      </c>
      <c r="Q50" s="379" t="s">
        <v>184</v>
      </c>
      <c r="R50" s="380" t="s">
        <v>319</v>
      </c>
      <c r="S50" s="380" t="s">
        <v>182</v>
      </c>
      <c r="T50" s="380">
        <v>1</v>
      </c>
      <c r="U50" s="380">
        <v>1</v>
      </c>
      <c r="V50" s="50">
        <f>+U50/T50</f>
        <v>1</v>
      </c>
      <c r="W50" s="380">
        <v>1</v>
      </c>
      <c r="X50" s="380">
        <v>1</v>
      </c>
      <c r="Y50" s="50">
        <f>+X50/W50</f>
        <v>1</v>
      </c>
      <c r="Z50" s="388" t="s">
        <v>470</v>
      </c>
      <c r="AA50" s="262" t="s">
        <v>292</v>
      </c>
      <c r="AB50" s="11"/>
      <c r="AC50" s="11"/>
      <c r="AD50" s="12"/>
      <c r="AE50" s="1"/>
    </row>
    <row r="51" spans="3:31" ht="181.5" customHeight="1" thickBot="1" x14ac:dyDescent="0.3">
      <c r="C51" s="886"/>
      <c r="D51" s="889"/>
      <c r="E51" s="851"/>
      <c r="F51" s="854"/>
      <c r="G51" s="833"/>
      <c r="H51" s="836"/>
      <c r="I51" s="839"/>
      <c r="J51" s="842"/>
      <c r="K51" s="836"/>
      <c r="L51" s="845"/>
      <c r="M51" s="848"/>
      <c r="N51" s="383" t="s">
        <v>185</v>
      </c>
      <c r="O51" s="379" t="s">
        <v>186</v>
      </c>
      <c r="P51" s="377" t="s">
        <v>187</v>
      </c>
      <c r="Q51" s="379" t="s">
        <v>320</v>
      </c>
      <c r="R51" s="380" t="s">
        <v>314</v>
      </c>
      <c r="S51" s="380" t="s">
        <v>164</v>
      </c>
      <c r="T51" s="394">
        <v>0</v>
      </c>
      <c r="U51" s="394">
        <v>0</v>
      </c>
      <c r="V51" s="50" t="e">
        <f>+U51/T51</f>
        <v>#DIV/0!</v>
      </c>
      <c r="W51" s="106">
        <v>1</v>
      </c>
      <c r="X51" s="106">
        <v>1</v>
      </c>
      <c r="Y51" s="50">
        <f t="shared" si="1"/>
        <v>1</v>
      </c>
      <c r="Z51" s="387" t="s">
        <v>469</v>
      </c>
      <c r="AA51" s="392" t="s">
        <v>471</v>
      </c>
      <c r="AB51" s="11"/>
      <c r="AC51" s="11"/>
      <c r="AD51" s="12"/>
      <c r="AE51" s="1"/>
    </row>
    <row r="52" spans="3:31" ht="189.75" customHeight="1" thickBot="1" x14ac:dyDescent="0.3">
      <c r="C52" s="886"/>
      <c r="D52" s="889"/>
      <c r="E52" s="851"/>
      <c r="F52" s="854"/>
      <c r="G52" s="833"/>
      <c r="H52" s="836"/>
      <c r="I52" s="839"/>
      <c r="J52" s="842"/>
      <c r="K52" s="836"/>
      <c r="L52" s="845"/>
      <c r="M52" s="848"/>
      <c r="N52" s="45" t="s">
        <v>188</v>
      </c>
      <c r="O52" s="33" t="s">
        <v>321</v>
      </c>
      <c r="P52" s="44" t="s">
        <v>189</v>
      </c>
      <c r="Q52" s="33" t="s">
        <v>378</v>
      </c>
      <c r="R52" s="34" t="s">
        <v>314</v>
      </c>
      <c r="S52" s="34" t="s">
        <v>164</v>
      </c>
      <c r="T52" s="39">
        <v>0</v>
      </c>
      <c r="U52" s="39">
        <v>0</v>
      </c>
      <c r="V52" s="50" t="e">
        <f t="shared" si="0"/>
        <v>#DIV/0!</v>
      </c>
      <c r="W52" s="89">
        <v>1</v>
      </c>
      <c r="X52" s="89">
        <f>+U52</f>
        <v>0</v>
      </c>
      <c r="Y52" s="50">
        <f t="shared" si="1"/>
        <v>0</v>
      </c>
      <c r="Z52" s="248" t="s">
        <v>490</v>
      </c>
      <c r="AA52" s="107"/>
      <c r="AB52" s="11"/>
      <c r="AC52" s="11"/>
      <c r="AD52" s="12"/>
      <c r="AE52" s="1"/>
    </row>
    <row r="53" spans="3:31" ht="242.25" customHeight="1" thickBot="1" x14ac:dyDescent="0.3">
      <c r="C53" s="887"/>
      <c r="D53" s="890"/>
      <c r="E53" s="852"/>
      <c r="F53" s="855"/>
      <c r="G53" s="834"/>
      <c r="H53" s="837"/>
      <c r="I53" s="840"/>
      <c r="J53" s="843"/>
      <c r="K53" s="837"/>
      <c r="L53" s="846"/>
      <c r="M53" s="849"/>
      <c r="N53" s="45" t="s">
        <v>190</v>
      </c>
      <c r="O53" s="33" t="s">
        <v>322</v>
      </c>
      <c r="P53" s="44" t="s">
        <v>191</v>
      </c>
      <c r="Q53" s="33" t="s">
        <v>442</v>
      </c>
      <c r="R53" s="34" t="s">
        <v>314</v>
      </c>
      <c r="S53" s="34" t="s">
        <v>164</v>
      </c>
      <c r="T53" s="34">
        <v>0.17</v>
      </c>
      <c r="U53" s="34">
        <v>0.17</v>
      </c>
      <c r="V53" s="357">
        <f t="shared" si="0"/>
        <v>1</v>
      </c>
      <c r="W53" s="79">
        <f>49%+T53</f>
        <v>0.66</v>
      </c>
      <c r="X53" s="79">
        <f>49%+U53</f>
        <v>0.66</v>
      </c>
      <c r="Y53" s="357">
        <f t="shared" si="1"/>
        <v>1</v>
      </c>
      <c r="Z53" s="388" t="s">
        <v>530</v>
      </c>
      <c r="AA53" s="262" t="s">
        <v>294</v>
      </c>
      <c r="AB53" s="11"/>
      <c r="AC53" s="11"/>
      <c r="AD53" s="12"/>
      <c r="AE53" s="1"/>
    </row>
    <row r="54" spans="3:31" ht="218.25" customHeight="1" thickBot="1" x14ac:dyDescent="0.3">
      <c r="C54" s="885" t="s">
        <v>18</v>
      </c>
      <c r="D54" s="888" t="s">
        <v>19</v>
      </c>
      <c r="E54" s="850">
        <v>3</v>
      </c>
      <c r="F54" s="853" t="s">
        <v>70</v>
      </c>
      <c r="G54" s="832">
        <v>309</v>
      </c>
      <c r="H54" s="835" t="s">
        <v>192</v>
      </c>
      <c r="I54" s="838">
        <v>0.05</v>
      </c>
      <c r="J54" s="841" t="s">
        <v>193</v>
      </c>
      <c r="K54" s="835" t="s">
        <v>194</v>
      </c>
      <c r="L54" s="844" t="s">
        <v>81</v>
      </c>
      <c r="M54" s="847">
        <v>1</v>
      </c>
      <c r="N54" s="45" t="s">
        <v>195</v>
      </c>
      <c r="O54" s="33" t="s">
        <v>338</v>
      </c>
      <c r="P54" s="44" t="s">
        <v>196</v>
      </c>
      <c r="Q54" s="33" t="s">
        <v>197</v>
      </c>
      <c r="R54" s="34" t="s">
        <v>339</v>
      </c>
      <c r="S54" s="34" t="s">
        <v>42</v>
      </c>
      <c r="T54" s="36">
        <v>0</v>
      </c>
      <c r="U54" s="36">
        <v>0</v>
      </c>
      <c r="V54" s="50" t="e">
        <f>+U54/T54</f>
        <v>#DIV/0!</v>
      </c>
      <c r="W54" s="36">
        <v>1</v>
      </c>
      <c r="X54" s="36">
        <f>+U54</f>
        <v>0</v>
      </c>
      <c r="Y54" s="50">
        <f t="shared" si="1"/>
        <v>0</v>
      </c>
      <c r="Z54" s="255" t="s">
        <v>466</v>
      </c>
      <c r="AA54" s="254" t="s">
        <v>541</v>
      </c>
      <c r="AB54" s="20"/>
      <c r="AC54" s="20"/>
      <c r="AD54" s="21"/>
      <c r="AE54" s="1"/>
    </row>
    <row r="55" spans="3:31" ht="200.25" customHeight="1" thickBot="1" x14ac:dyDescent="0.3">
      <c r="C55" s="886"/>
      <c r="D55" s="889"/>
      <c r="E55" s="851"/>
      <c r="F55" s="854"/>
      <c r="G55" s="833"/>
      <c r="H55" s="836"/>
      <c r="I55" s="839"/>
      <c r="J55" s="842"/>
      <c r="K55" s="836"/>
      <c r="L55" s="845"/>
      <c r="M55" s="848"/>
      <c r="N55" s="45" t="s">
        <v>198</v>
      </c>
      <c r="O55" s="33" t="s">
        <v>199</v>
      </c>
      <c r="P55" s="44" t="s">
        <v>200</v>
      </c>
      <c r="Q55" s="33" t="s">
        <v>201</v>
      </c>
      <c r="R55" s="34" t="s">
        <v>202</v>
      </c>
      <c r="S55" s="34" t="s">
        <v>42</v>
      </c>
      <c r="T55" s="36">
        <v>1</v>
      </c>
      <c r="U55" s="36">
        <v>1</v>
      </c>
      <c r="V55" s="50">
        <f t="shared" si="0"/>
        <v>1</v>
      </c>
      <c r="W55" s="36">
        <f>1+T55</f>
        <v>2</v>
      </c>
      <c r="X55" s="36">
        <f>+U55</f>
        <v>1</v>
      </c>
      <c r="Y55" s="50">
        <f t="shared" si="1"/>
        <v>0.5</v>
      </c>
      <c r="Z55" s="248" t="s">
        <v>531</v>
      </c>
      <c r="AA55" s="317" t="s">
        <v>489</v>
      </c>
      <c r="AB55" s="20"/>
      <c r="AC55" s="20"/>
      <c r="AD55" s="21"/>
      <c r="AE55" s="1"/>
    </row>
    <row r="56" spans="3:31" ht="162" customHeight="1" thickBot="1" x14ac:dyDescent="0.3">
      <c r="C56" s="886"/>
      <c r="D56" s="889"/>
      <c r="E56" s="851"/>
      <c r="F56" s="854"/>
      <c r="G56" s="833"/>
      <c r="H56" s="836"/>
      <c r="I56" s="839"/>
      <c r="J56" s="842"/>
      <c r="K56" s="836"/>
      <c r="L56" s="845"/>
      <c r="M56" s="848"/>
      <c r="N56" s="45" t="s">
        <v>203</v>
      </c>
      <c r="O56" s="33" t="s">
        <v>204</v>
      </c>
      <c r="P56" s="44" t="s">
        <v>205</v>
      </c>
      <c r="Q56" s="33" t="s">
        <v>206</v>
      </c>
      <c r="R56" s="34" t="s">
        <v>207</v>
      </c>
      <c r="S56" s="34" t="s">
        <v>42</v>
      </c>
      <c r="T56" s="36">
        <v>2</v>
      </c>
      <c r="U56" s="36">
        <v>0</v>
      </c>
      <c r="V56" s="50">
        <f t="shared" si="0"/>
        <v>0</v>
      </c>
      <c r="W56" s="36">
        <f>6+T56</f>
        <v>8</v>
      </c>
      <c r="X56" s="36">
        <f>+U56</f>
        <v>0</v>
      </c>
      <c r="Y56" s="50">
        <f t="shared" si="1"/>
        <v>0</v>
      </c>
      <c r="Z56" s="387" t="s">
        <v>491</v>
      </c>
      <c r="AA56" s="392" t="s">
        <v>492</v>
      </c>
      <c r="AB56" s="20"/>
      <c r="AC56" s="20"/>
      <c r="AD56" s="21"/>
      <c r="AE56" s="1"/>
    </row>
    <row r="57" spans="3:31" ht="195" customHeight="1" thickBot="1" x14ac:dyDescent="0.3">
      <c r="C57" s="886"/>
      <c r="D57" s="889"/>
      <c r="E57" s="851"/>
      <c r="F57" s="854"/>
      <c r="G57" s="833"/>
      <c r="H57" s="836"/>
      <c r="I57" s="839"/>
      <c r="J57" s="842"/>
      <c r="K57" s="836"/>
      <c r="L57" s="845"/>
      <c r="M57" s="848"/>
      <c r="N57" s="45" t="s">
        <v>208</v>
      </c>
      <c r="O57" s="33" t="s">
        <v>209</v>
      </c>
      <c r="P57" s="44" t="s">
        <v>210</v>
      </c>
      <c r="Q57" s="33" t="s">
        <v>194</v>
      </c>
      <c r="R57" s="34" t="s">
        <v>194</v>
      </c>
      <c r="S57" s="34" t="s">
        <v>42</v>
      </c>
      <c r="T57" s="36">
        <v>0</v>
      </c>
      <c r="U57" s="36">
        <v>0</v>
      </c>
      <c r="V57" s="50" t="e">
        <f t="shared" si="0"/>
        <v>#DIV/0!</v>
      </c>
      <c r="W57" s="36">
        <v>2</v>
      </c>
      <c r="X57" s="36">
        <f>1+U57</f>
        <v>1</v>
      </c>
      <c r="Y57" s="50">
        <f t="shared" si="1"/>
        <v>0.5</v>
      </c>
      <c r="Z57" s="248" t="s">
        <v>466</v>
      </c>
      <c r="AA57" s="392" t="s">
        <v>493</v>
      </c>
      <c r="AB57" s="20"/>
      <c r="AC57" s="20"/>
      <c r="AD57" s="21"/>
      <c r="AE57" s="1"/>
    </row>
    <row r="58" spans="3:31" ht="119.25" customHeight="1" thickBot="1" x14ac:dyDescent="0.3">
      <c r="C58" s="886"/>
      <c r="D58" s="889"/>
      <c r="E58" s="851"/>
      <c r="F58" s="854"/>
      <c r="G58" s="833"/>
      <c r="H58" s="836"/>
      <c r="I58" s="839"/>
      <c r="J58" s="842"/>
      <c r="K58" s="836"/>
      <c r="L58" s="845"/>
      <c r="M58" s="848"/>
      <c r="N58" s="810" t="s">
        <v>211</v>
      </c>
      <c r="O58" s="813" t="s">
        <v>212</v>
      </c>
      <c r="P58" s="44" t="s">
        <v>213</v>
      </c>
      <c r="Q58" s="33" t="s">
        <v>214</v>
      </c>
      <c r="R58" s="34" t="s">
        <v>215</v>
      </c>
      <c r="S58" s="34" t="s">
        <v>42</v>
      </c>
      <c r="T58" s="36">
        <v>0</v>
      </c>
      <c r="U58" s="36">
        <v>0</v>
      </c>
      <c r="V58" s="50" t="e">
        <f>+U58/T58</f>
        <v>#DIV/0!</v>
      </c>
      <c r="W58" s="36">
        <v>10</v>
      </c>
      <c r="X58" s="36">
        <f>+U58</f>
        <v>0</v>
      </c>
      <c r="Y58" s="50">
        <f t="shared" si="1"/>
        <v>0</v>
      </c>
      <c r="Z58" s="248" t="s">
        <v>477</v>
      </c>
      <c r="AA58" s="249" t="s">
        <v>293</v>
      </c>
      <c r="AB58" s="20"/>
      <c r="AC58" s="20"/>
      <c r="AD58" s="21"/>
      <c r="AE58" s="1"/>
    </row>
    <row r="59" spans="3:31" ht="235.5" customHeight="1" thickBot="1" x14ac:dyDescent="0.3">
      <c r="C59" s="886"/>
      <c r="D59" s="889"/>
      <c r="E59" s="851"/>
      <c r="F59" s="854"/>
      <c r="G59" s="833"/>
      <c r="H59" s="836"/>
      <c r="I59" s="839"/>
      <c r="J59" s="842"/>
      <c r="K59" s="836"/>
      <c r="L59" s="845"/>
      <c r="M59" s="848"/>
      <c r="N59" s="811"/>
      <c r="O59" s="814"/>
      <c r="P59" s="44" t="s">
        <v>216</v>
      </c>
      <c r="Q59" s="33" t="s">
        <v>217</v>
      </c>
      <c r="R59" s="34" t="s">
        <v>218</v>
      </c>
      <c r="S59" s="34" t="s">
        <v>219</v>
      </c>
      <c r="T59" s="36">
        <v>8</v>
      </c>
      <c r="U59" s="36">
        <v>11</v>
      </c>
      <c r="V59" s="50">
        <f>+T59/U59</f>
        <v>0.72727272727272729</v>
      </c>
      <c r="W59" s="36">
        <v>8</v>
      </c>
      <c r="X59" s="250">
        <v>8.67</v>
      </c>
      <c r="Y59" s="50">
        <f>+W59/X59</f>
        <v>0.92272202998846597</v>
      </c>
      <c r="Z59" s="248" t="s">
        <v>532</v>
      </c>
      <c r="AA59" s="253" t="s">
        <v>533</v>
      </c>
      <c r="AB59" s="20"/>
      <c r="AC59" s="20"/>
      <c r="AD59" s="21"/>
      <c r="AE59" s="1"/>
    </row>
    <row r="60" spans="3:31" ht="231.75" customHeight="1" thickBot="1" x14ac:dyDescent="0.3">
      <c r="C60" s="886"/>
      <c r="D60" s="889"/>
      <c r="E60" s="851"/>
      <c r="F60" s="854"/>
      <c r="G60" s="833"/>
      <c r="H60" s="836"/>
      <c r="I60" s="839"/>
      <c r="J60" s="842"/>
      <c r="K60" s="836"/>
      <c r="L60" s="845"/>
      <c r="M60" s="848"/>
      <c r="N60" s="812"/>
      <c r="O60" s="815"/>
      <c r="P60" s="44" t="s">
        <v>220</v>
      </c>
      <c r="Q60" s="33" t="s">
        <v>221</v>
      </c>
      <c r="R60" s="34" t="s">
        <v>222</v>
      </c>
      <c r="S60" s="34" t="s">
        <v>343</v>
      </c>
      <c r="T60" s="34">
        <v>1</v>
      </c>
      <c r="U60" s="34">
        <v>0.8</v>
      </c>
      <c r="V60" s="50">
        <f t="shared" si="0"/>
        <v>0.8</v>
      </c>
      <c r="W60" s="34">
        <v>1</v>
      </c>
      <c r="X60" s="90">
        <v>0.90300000000000002</v>
      </c>
      <c r="Y60" s="50">
        <f t="shared" si="1"/>
        <v>0.90300000000000002</v>
      </c>
      <c r="Z60" s="252" t="s">
        <v>534</v>
      </c>
      <c r="AA60" s="249" t="s">
        <v>292</v>
      </c>
      <c r="AB60" s="20"/>
      <c r="AC60" s="20"/>
      <c r="AD60" s="21"/>
      <c r="AE60" s="1"/>
    </row>
    <row r="61" spans="3:31" ht="169.5" customHeight="1" thickBot="1" x14ac:dyDescent="0.3">
      <c r="C61" s="886"/>
      <c r="D61" s="889"/>
      <c r="E61" s="851"/>
      <c r="F61" s="854"/>
      <c r="G61" s="833"/>
      <c r="H61" s="836"/>
      <c r="I61" s="839"/>
      <c r="J61" s="842"/>
      <c r="K61" s="836"/>
      <c r="L61" s="845"/>
      <c r="M61" s="848"/>
      <c r="N61" s="45" t="s">
        <v>224</v>
      </c>
      <c r="O61" s="33" t="s">
        <v>225</v>
      </c>
      <c r="P61" s="44" t="s">
        <v>226</v>
      </c>
      <c r="Q61" s="33" t="s">
        <v>227</v>
      </c>
      <c r="R61" s="34" t="s">
        <v>228</v>
      </c>
      <c r="S61" s="34" t="s">
        <v>229</v>
      </c>
      <c r="T61" s="34">
        <v>0.1</v>
      </c>
      <c r="U61" s="34">
        <v>0</v>
      </c>
      <c r="V61" s="50">
        <f t="shared" si="0"/>
        <v>0</v>
      </c>
      <c r="W61" s="34">
        <f>90%+T61</f>
        <v>1</v>
      </c>
      <c r="X61" s="39">
        <f>80%+U61</f>
        <v>0.8</v>
      </c>
      <c r="Y61" s="50">
        <f t="shared" si="1"/>
        <v>0.8</v>
      </c>
      <c r="Z61" s="252" t="s">
        <v>478</v>
      </c>
      <c r="AA61" s="249" t="s">
        <v>294</v>
      </c>
      <c r="AB61" s="20"/>
      <c r="AC61" s="20"/>
      <c r="AD61" s="21"/>
      <c r="AE61" s="1"/>
    </row>
    <row r="62" spans="3:31" ht="343.5" customHeight="1" thickBot="1" x14ac:dyDescent="0.3">
      <c r="C62" s="887"/>
      <c r="D62" s="890"/>
      <c r="E62" s="852"/>
      <c r="F62" s="855"/>
      <c r="G62" s="834"/>
      <c r="H62" s="837"/>
      <c r="I62" s="840"/>
      <c r="J62" s="843"/>
      <c r="K62" s="837"/>
      <c r="L62" s="846"/>
      <c r="M62" s="849"/>
      <c r="N62" s="45" t="s">
        <v>230</v>
      </c>
      <c r="O62" s="33" t="s">
        <v>232</v>
      </c>
      <c r="P62" s="44" t="s">
        <v>231</v>
      </c>
      <c r="Q62" s="33" t="s">
        <v>233</v>
      </c>
      <c r="R62" s="34" t="s">
        <v>234</v>
      </c>
      <c r="S62" s="34" t="s">
        <v>235</v>
      </c>
      <c r="T62" s="39">
        <v>0.2</v>
      </c>
      <c r="U62" s="39">
        <v>1</v>
      </c>
      <c r="V62" s="357">
        <f t="shared" si="0"/>
        <v>5</v>
      </c>
      <c r="W62" s="39">
        <f>80%+T62</f>
        <v>1</v>
      </c>
      <c r="X62" s="39">
        <f>+U62</f>
        <v>1</v>
      </c>
      <c r="Y62" s="357">
        <f t="shared" si="1"/>
        <v>1</v>
      </c>
      <c r="Z62" s="312" t="s">
        <v>535</v>
      </c>
      <c r="AA62" s="254" t="s">
        <v>536</v>
      </c>
      <c r="AB62" s="20"/>
      <c r="AC62" s="20"/>
      <c r="AD62" s="21"/>
      <c r="AE62" s="1"/>
    </row>
    <row r="63" spans="3:31" ht="192" customHeight="1" thickBot="1" x14ac:dyDescent="0.3">
      <c r="C63" s="886" t="s">
        <v>18</v>
      </c>
      <c r="D63" s="889" t="s">
        <v>19</v>
      </c>
      <c r="E63" s="851">
        <v>3</v>
      </c>
      <c r="F63" s="854" t="s">
        <v>70</v>
      </c>
      <c r="G63" s="833">
        <v>309</v>
      </c>
      <c r="H63" s="938" t="s">
        <v>543</v>
      </c>
      <c r="I63" s="358"/>
      <c r="J63" s="842" t="s">
        <v>193</v>
      </c>
      <c r="K63" s="938" t="s">
        <v>544</v>
      </c>
      <c r="L63" s="845" t="s">
        <v>81</v>
      </c>
      <c r="M63" s="848"/>
      <c r="N63" s="811" t="s">
        <v>236</v>
      </c>
      <c r="O63" s="814" t="s">
        <v>237</v>
      </c>
      <c r="P63" s="377" t="s">
        <v>238</v>
      </c>
      <c r="Q63" s="379" t="s">
        <v>239</v>
      </c>
      <c r="R63" s="380" t="s">
        <v>240</v>
      </c>
      <c r="S63" s="380" t="s">
        <v>42</v>
      </c>
      <c r="T63" s="382">
        <v>750</v>
      </c>
      <c r="U63" s="382">
        <v>894</v>
      </c>
      <c r="V63" s="354">
        <f t="shared" si="0"/>
        <v>1.1919999999999999</v>
      </c>
      <c r="W63" s="382">
        <f>1550+T6</f>
        <v>1550</v>
      </c>
      <c r="X63" s="360">
        <f>1586+U63</f>
        <v>2480</v>
      </c>
      <c r="Y63" s="354">
        <f t="shared" si="1"/>
        <v>1.6</v>
      </c>
      <c r="Z63" s="361" t="s">
        <v>473</v>
      </c>
      <c r="AA63" s="316" t="s">
        <v>294</v>
      </c>
      <c r="AB63" s="20"/>
      <c r="AC63" s="20"/>
      <c r="AD63" s="21"/>
      <c r="AE63" s="1"/>
    </row>
    <row r="64" spans="3:31" ht="175.5" customHeight="1" thickBot="1" x14ac:dyDescent="0.3">
      <c r="C64" s="886"/>
      <c r="D64" s="889"/>
      <c r="E64" s="851"/>
      <c r="F64" s="854"/>
      <c r="G64" s="833"/>
      <c r="H64" s="938"/>
      <c r="I64" s="358"/>
      <c r="J64" s="842"/>
      <c r="K64" s="938"/>
      <c r="L64" s="845"/>
      <c r="M64" s="848"/>
      <c r="N64" s="812"/>
      <c r="O64" s="815"/>
      <c r="P64" s="44" t="s">
        <v>241</v>
      </c>
      <c r="Q64" s="33" t="s">
        <v>332</v>
      </c>
      <c r="R64" s="34" t="s">
        <v>333</v>
      </c>
      <c r="S64" s="34" t="s">
        <v>77</v>
      </c>
      <c r="T64" s="79">
        <v>1</v>
      </c>
      <c r="U64" s="79">
        <v>1</v>
      </c>
      <c r="V64" s="50">
        <f t="shared" si="0"/>
        <v>1</v>
      </c>
      <c r="W64" s="34">
        <v>1</v>
      </c>
      <c r="X64" s="90">
        <v>0.99</v>
      </c>
      <c r="Y64" s="50">
        <f t="shared" si="1"/>
        <v>0.99</v>
      </c>
      <c r="Z64" s="252" t="s">
        <v>537</v>
      </c>
      <c r="AA64" s="254" t="s">
        <v>538</v>
      </c>
      <c r="AB64" s="20"/>
      <c r="AC64" s="20"/>
      <c r="AD64" s="21"/>
      <c r="AE64" s="1"/>
    </row>
    <row r="65" spans="1:31" ht="376.5" customHeight="1" thickBot="1" x14ac:dyDescent="0.3">
      <c r="C65" s="886"/>
      <c r="D65" s="889"/>
      <c r="E65" s="851"/>
      <c r="F65" s="854"/>
      <c r="G65" s="833"/>
      <c r="H65" s="938"/>
      <c r="I65" s="358"/>
      <c r="J65" s="842"/>
      <c r="K65" s="938"/>
      <c r="L65" s="845"/>
      <c r="M65" s="848"/>
      <c r="N65" s="810" t="s">
        <v>242</v>
      </c>
      <c r="O65" s="816" t="s">
        <v>243</v>
      </c>
      <c r="P65" s="44" t="s">
        <v>244</v>
      </c>
      <c r="Q65" s="33" t="s">
        <v>245</v>
      </c>
      <c r="R65" s="34" t="s">
        <v>228</v>
      </c>
      <c r="S65" s="34" t="s">
        <v>229</v>
      </c>
      <c r="T65" s="90">
        <v>0.23300000000000001</v>
      </c>
      <c r="U65" s="90">
        <v>0.21329999999999999</v>
      </c>
      <c r="V65" s="50">
        <f>+U65/T65</f>
        <v>0.91545064377682395</v>
      </c>
      <c r="W65" s="88">
        <f>30%+T65</f>
        <v>0.53300000000000003</v>
      </c>
      <c r="X65" s="90">
        <f>30%+U65</f>
        <v>0.51329999999999998</v>
      </c>
      <c r="Y65" s="50">
        <f t="shared" si="1"/>
        <v>0.96303939962476537</v>
      </c>
      <c r="Z65" s="252" t="s">
        <v>539</v>
      </c>
      <c r="AA65" s="266" t="s">
        <v>474</v>
      </c>
      <c r="AB65" s="20"/>
      <c r="AC65" s="20"/>
      <c r="AD65" s="21"/>
      <c r="AE65" s="1"/>
    </row>
    <row r="66" spans="1:31" ht="394.5" customHeight="1" thickBot="1" x14ac:dyDescent="0.3">
      <c r="C66" s="886"/>
      <c r="D66" s="889"/>
      <c r="E66" s="852"/>
      <c r="F66" s="855"/>
      <c r="G66" s="834"/>
      <c r="H66" s="909"/>
      <c r="I66" s="359"/>
      <c r="J66" s="843"/>
      <c r="K66" s="909"/>
      <c r="L66" s="846"/>
      <c r="M66" s="849"/>
      <c r="N66" s="812"/>
      <c r="O66" s="817"/>
      <c r="P66" s="44" t="s">
        <v>298</v>
      </c>
      <c r="Q66" s="33" t="s">
        <v>334</v>
      </c>
      <c r="R66" s="34" t="s">
        <v>228</v>
      </c>
      <c r="S66" s="34" t="s">
        <v>164</v>
      </c>
      <c r="T66" s="79">
        <v>0.18329999999999999</v>
      </c>
      <c r="U66" s="79">
        <v>0.18329999999999999</v>
      </c>
      <c r="V66" s="50">
        <f>+U66/T66</f>
        <v>1</v>
      </c>
      <c r="W66" s="88">
        <f>45%+T66</f>
        <v>0.63329999999999997</v>
      </c>
      <c r="X66" s="39">
        <f>27.5%+U66</f>
        <v>0.45830000000000004</v>
      </c>
      <c r="Y66" s="50">
        <f>+X66/W66</f>
        <v>0.72366966682456979</v>
      </c>
      <c r="Z66" s="252" t="s">
        <v>475</v>
      </c>
      <c r="AA66" s="267" t="s">
        <v>476</v>
      </c>
      <c r="AB66" s="20"/>
      <c r="AC66" s="20"/>
      <c r="AD66" s="21"/>
      <c r="AE66" s="1"/>
    </row>
    <row r="67" spans="1:31" ht="321.75" customHeight="1" thickBot="1" x14ac:dyDescent="0.3">
      <c r="C67" s="886"/>
      <c r="D67" s="889"/>
      <c r="E67" s="850">
        <v>4</v>
      </c>
      <c r="F67" s="853" t="s">
        <v>246</v>
      </c>
      <c r="G67" s="363">
        <v>401</v>
      </c>
      <c r="H67" s="369" t="s">
        <v>247</v>
      </c>
      <c r="I67" s="384">
        <v>0.35</v>
      </c>
      <c r="J67" s="365" t="s">
        <v>248</v>
      </c>
      <c r="K67" s="369" t="s">
        <v>249</v>
      </c>
      <c r="L67" s="374" t="s">
        <v>81</v>
      </c>
      <c r="M67" s="389">
        <v>1</v>
      </c>
      <c r="N67" s="65" t="s">
        <v>250</v>
      </c>
      <c r="O67" s="41" t="s">
        <v>335</v>
      </c>
      <c r="P67" s="46" t="s">
        <v>251</v>
      </c>
      <c r="Q67" s="41" t="s">
        <v>336</v>
      </c>
      <c r="R67" s="42" t="s">
        <v>337</v>
      </c>
      <c r="S67" s="42" t="s">
        <v>42</v>
      </c>
      <c r="T67" s="43">
        <v>0</v>
      </c>
      <c r="U67" s="43">
        <v>0</v>
      </c>
      <c r="V67" s="50" t="e">
        <f t="shared" si="0"/>
        <v>#DIV/0!</v>
      </c>
      <c r="W67" s="43">
        <v>10</v>
      </c>
      <c r="X67" s="43">
        <f>10+U67</f>
        <v>10</v>
      </c>
      <c r="Y67" s="50">
        <f t="shared" si="1"/>
        <v>1</v>
      </c>
      <c r="Z67" s="255" t="s">
        <v>479</v>
      </c>
      <c r="AA67" s="253" t="s">
        <v>480</v>
      </c>
      <c r="AB67" s="22"/>
      <c r="AC67" s="22"/>
      <c r="AD67" s="23">
        <f>6+5+8+4+2+13+24</f>
        <v>62</v>
      </c>
      <c r="AE67" s="1">
        <f>91-62</f>
        <v>29</v>
      </c>
    </row>
    <row r="68" spans="1:31" ht="174.75" customHeight="1" thickBot="1" x14ac:dyDescent="0.3">
      <c r="C68" s="886"/>
      <c r="D68" s="889"/>
      <c r="E68" s="851"/>
      <c r="F68" s="854"/>
      <c r="G68" s="832">
        <v>402</v>
      </c>
      <c r="H68" s="835" t="s">
        <v>286</v>
      </c>
      <c r="I68" s="838">
        <v>0.35</v>
      </c>
      <c r="J68" s="14" t="s">
        <v>252</v>
      </c>
      <c r="K68" s="47" t="s">
        <v>253</v>
      </c>
      <c r="L68" s="72" t="s">
        <v>81</v>
      </c>
      <c r="M68" s="46">
        <v>0.6</v>
      </c>
      <c r="N68" s="856" t="s">
        <v>254</v>
      </c>
      <c r="O68" s="824" t="s">
        <v>340</v>
      </c>
      <c r="P68" s="826" t="s">
        <v>255</v>
      </c>
      <c r="Q68" s="828" t="s">
        <v>341</v>
      </c>
      <c r="R68" s="820" t="s">
        <v>342</v>
      </c>
      <c r="S68" s="820" t="s">
        <v>256</v>
      </c>
      <c r="T68" s="820">
        <v>0</v>
      </c>
      <c r="U68" s="820">
        <v>0</v>
      </c>
      <c r="V68" s="769" t="e">
        <f t="shared" si="0"/>
        <v>#DIV/0!</v>
      </c>
      <c r="W68" s="820">
        <v>0</v>
      </c>
      <c r="X68" s="820">
        <f>+U68</f>
        <v>0</v>
      </c>
      <c r="Y68" s="769" t="e">
        <f t="shared" si="1"/>
        <v>#DIV/0!</v>
      </c>
      <c r="Z68" s="822" t="s">
        <v>540</v>
      </c>
      <c r="AA68" s="818" t="s">
        <v>502</v>
      </c>
      <c r="AB68" s="24"/>
      <c r="AC68" s="24"/>
      <c r="AD68" s="25"/>
      <c r="AE68" s="1"/>
    </row>
    <row r="69" spans="1:31" ht="160.5" customHeight="1" thickBot="1" x14ac:dyDescent="0.3">
      <c r="C69" s="886"/>
      <c r="D69" s="889"/>
      <c r="E69" s="851"/>
      <c r="F69" s="854"/>
      <c r="G69" s="834"/>
      <c r="H69" s="837"/>
      <c r="I69" s="840"/>
      <c r="J69" s="14" t="s">
        <v>257</v>
      </c>
      <c r="K69" s="371" t="s">
        <v>194</v>
      </c>
      <c r="L69" s="375" t="s">
        <v>81</v>
      </c>
      <c r="M69" s="390">
        <v>0.4</v>
      </c>
      <c r="N69" s="857"/>
      <c r="O69" s="825"/>
      <c r="P69" s="827"/>
      <c r="Q69" s="829"/>
      <c r="R69" s="821"/>
      <c r="S69" s="821"/>
      <c r="T69" s="821"/>
      <c r="U69" s="821"/>
      <c r="V69" s="770"/>
      <c r="W69" s="821"/>
      <c r="X69" s="821"/>
      <c r="Y69" s="770"/>
      <c r="Z69" s="823"/>
      <c r="AA69" s="819"/>
      <c r="AB69" s="24"/>
      <c r="AC69" s="24"/>
      <c r="AD69" s="25"/>
      <c r="AE69" s="1"/>
    </row>
    <row r="70" spans="1:31" ht="187.5" customHeight="1" thickBot="1" x14ac:dyDescent="0.3">
      <c r="C70" s="887"/>
      <c r="D70" s="890"/>
      <c r="E70" s="852"/>
      <c r="F70" s="855"/>
      <c r="G70" s="364">
        <v>403</v>
      </c>
      <c r="H70" s="371" t="s">
        <v>258</v>
      </c>
      <c r="I70" s="385">
        <v>0.3</v>
      </c>
      <c r="J70" s="14" t="s">
        <v>259</v>
      </c>
      <c r="K70" s="371" t="s">
        <v>260</v>
      </c>
      <c r="L70" s="375" t="s">
        <v>81</v>
      </c>
      <c r="M70" s="390">
        <v>1</v>
      </c>
      <c r="N70" s="65" t="s">
        <v>261</v>
      </c>
      <c r="O70" s="41" t="s">
        <v>262</v>
      </c>
      <c r="P70" s="46" t="s">
        <v>263</v>
      </c>
      <c r="Q70" s="41" t="s">
        <v>194</v>
      </c>
      <c r="R70" s="42" t="s">
        <v>194</v>
      </c>
      <c r="S70" s="42" t="s">
        <v>42</v>
      </c>
      <c r="T70" s="43">
        <v>0</v>
      </c>
      <c r="U70" s="43">
        <v>1</v>
      </c>
      <c r="V70" s="51">
        <v>1</v>
      </c>
      <c r="W70" s="43">
        <v>1</v>
      </c>
      <c r="X70" s="43">
        <f>+U70</f>
        <v>1</v>
      </c>
      <c r="Y70" s="51">
        <f t="shared" si="1"/>
        <v>1</v>
      </c>
      <c r="Z70" s="255" t="s">
        <v>501</v>
      </c>
      <c r="AA70" s="249" t="s">
        <v>292</v>
      </c>
      <c r="AB70" s="22"/>
      <c r="AC70" s="22"/>
      <c r="AD70" s="23"/>
      <c r="AE70" s="1"/>
    </row>
    <row r="71" spans="1:31" ht="12.75" customHeight="1" x14ac:dyDescent="0.35">
      <c r="E71" s="26"/>
      <c r="F71" s="2"/>
      <c r="G71" s="1"/>
      <c r="H71" s="3"/>
      <c r="I71" s="4"/>
      <c r="J71" s="1"/>
      <c r="K71" s="3"/>
      <c r="L71" s="5"/>
      <c r="M71" s="27"/>
      <c r="N71" s="27"/>
      <c r="O71" s="27"/>
      <c r="P71" s="27"/>
      <c r="Q71" s="27"/>
      <c r="R71" s="27"/>
      <c r="S71" s="27"/>
      <c r="T71" s="27"/>
      <c r="U71" s="27"/>
      <c r="V71" s="27"/>
      <c r="W71" s="27"/>
      <c r="X71" s="27"/>
      <c r="Y71" s="27"/>
      <c r="Z71" s="27"/>
      <c r="AA71" s="27"/>
      <c r="AB71" s="27"/>
      <c r="AC71" s="27"/>
      <c r="AD71" s="27"/>
      <c r="AE71" s="1"/>
    </row>
    <row r="72" spans="1:31" s="29" customFormat="1" x14ac:dyDescent="0.35">
      <c r="A72" s="2"/>
      <c r="B72" s="2"/>
      <c r="C72" s="2"/>
      <c r="D72" s="2"/>
      <c r="E72" s="1"/>
      <c r="F72" s="2"/>
      <c r="G72" s="1"/>
      <c r="H72" s="3"/>
      <c r="I72" s="28"/>
      <c r="J72" s="1"/>
      <c r="K72" s="3"/>
      <c r="L72" s="5"/>
      <c r="M72" s="1"/>
      <c r="N72" s="1"/>
      <c r="O72" s="1"/>
      <c r="P72" s="1"/>
      <c r="Q72" s="1"/>
      <c r="R72" s="1"/>
      <c r="S72" s="1"/>
      <c r="T72" s="1"/>
      <c r="U72" s="1"/>
      <c r="V72" s="1"/>
      <c r="W72" s="1"/>
      <c r="X72" s="1"/>
      <c r="Y72" s="1"/>
      <c r="Z72" s="1"/>
      <c r="AA72" s="1"/>
      <c r="AB72" s="1"/>
      <c r="AC72" s="1"/>
      <c r="AD72" s="1"/>
      <c r="AE72" s="2"/>
    </row>
    <row r="73" spans="1:31" x14ac:dyDescent="0.35">
      <c r="E73" s="1"/>
      <c r="F73" s="2"/>
      <c r="G73" s="1"/>
      <c r="H73" s="3"/>
      <c r="I73" s="4"/>
      <c r="J73" s="1"/>
      <c r="K73" s="3"/>
      <c r="L73" s="5"/>
      <c r="M73" s="1"/>
      <c r="N73" s="1"/>
      <c r="O73" s="1"/>
      <c r="P73" s="1"/>
      <c r="Q73" s="1"/>
      <c r="R73" s="1"/>
      <c r="S73" s="1"/>
      <c r="T73" s="1"/>
      <c r="U73" s="1"/>
      <c r="V73" s="1"/>
      <c r="W73" s="1"/>
      <c r="X73" s="1"/>
      <c r="Y73" s="1"/>
      <c r="Z73" s="1"/>
      <c r="AA73" s="1"/>
      <c r="AB73" s="1"/>
      <c r="AC73" s="1"/>
      <c r="AD73" s="1"/>
      <c r="AE73" s="1"/>
    </row>
    <row r="74" spans="1:31" x14ac:dyDescent="0.35">
      <c r="E74" s="1"/>
      <c r="F74" s="2"/>
      <c r="G74" s="1"/>
      <c r="H74" s="3"/>
      <c r="I74" s="4"/>
      <c r="J74" s="1"/>
      <c r="K74" s="3"/>
      <c r="L74" s="5"/>
      <c r="M74" s="1"/>
      <c r="N74" s="1"/>
      <c r="O74" s="1"/>
      <c r="P74" s="1"/>
      <c r="Q74" s="1"/>
      <c r="R74" s="1"/>
      <c r="S74" s="1"/>
      <c r="T74" s="1"/>
      <c r="U74" s="1"/>
      <c r="V74" s="1"/>
      <c r="W74" s="1"/>
      <c r="X74" s="1"/>
      <c r="Y74" s="1"/>
      <c r="Z74" s="1"/>
      <c r="AA74" s="1"/>
      <c r="AB74" s="1"/>
      <c r="AC74" s="1"/>
      <c r="AD74" s="1"/>
      <c r="AE74" s="1"/>
    </row>
  </sheetData>
  <sheetProtection algorithmName="SHA-512" hashValue="0HQ+HicoFClvjXZ22vab1iqP67wXrJm2gp/EmsxnDOZXzdasrLsLvtrQcUUcCx559v0kBC0AZddPPSsT9kyvmw==" saltValue="csc813Fl1v2hXDwTT4+VUw==" spinCount="100000" sheet="1" objects="1" scenarios="1"/>
  <mergeCells count="212">
    <mergeCell ref="C54:C62"/>
    <mergeCell ref="AA68:AA69"/>
    <mergeCell ref="U68:U69"/>
    <mergeCell ref="V68:V69"/>
    <mergeCell ref="W68:W69"/>
    <mergeCell ref="X68:X69"/>
    <mergeCell ref="Y68:Y69"/>
    <mergeCell ref="Z68:Z69"/>
    <mergeCell ref="O68:O69"/>
    <mergeCell ref="P68:P69"/>
    <mergeCell ref="Q68:Q69"/>
    <mergeCell ref="R68:R69"/>
    <mergeCell ref="S68:S69"/>
    <mergeCell ref="T68:T69"/>
    <mergeCell ref="O63:O64"/>
    <mergeCell ref="N65:N66"/>
    <mergeCell ref="O65:O66"/>
    <mergeCell ref="L54:L62"/>
    <mergeCell ref="M54:M62"/>
    <mergeCell ref="N58:N60"/>
    <mergeCell ref="O58:O60"/>
    <mergeCell ref="C63:C70"/>
    <mergeCell ref="D63:D70"/>
    <mergeCell ref="E63:E66"/>
    <mergeCell ref="F63:F66"/>
    <mergeCell ref="G63:G66"/>
    <mergeCell ref="H63:H66"/>
    <mergeCell ref="E67:E70"/>
    <mergeCell ref="F67:F70"/>
    <mergeCell ref="G68:G69"/>
    <mergeCell ref="H68:H69"/>
    <mergeCell ref="I68:I69"/>
    <mergeCell ref="N68:N69"/>
    <mergeCell ref="J63:J66"/>
    <mergeCell ref="K63:K66"/>
    <mergeCell ref="L63:L66"/>
    <mergeCell ref="M63:M66"/>
    <mergeCell ref="N63:N64"/>
    <mergeCell ref="D54:D62"/>
    <mergeCell ref="E54:E62"/>
    <mergeCell ref="F54:F62"/>
    <mergeCell ref="G54:G62"/>
    <mergeCell ref="H54:H62"/>
    <mergeCell ref="I54:I62"/>
    <mergeCell ref="J54:J62"/>
    <mergeCell ref="K54:K62"/>
    <mergeCell ref="AA39:AA41"/>
    <mergeCell ref="U39:U41"/>
    <mergeCell ref="V39:V41"/>
    <mergeCell ref="W39:W41"/>
    <mergeCell ref="X39:X41"/>
    <mergeCell ref="Y39:Y41"/>
    <mergeCell ref="Z39:Z41"/>
    <mergeCell ref="AA47:AA48"/>
    <mergeCell ref="H46:H53"/>
    <mergeCell ref="I46:I53"/>
    <mergeCell ref="N46:N50"/>
    <mergeCell ref="O46:O50"/>
    <mergeCell ref="J47:J53"/>
    <mergeCell ref="K47:K53"/>
    <mergeCell ref="L47:L53"/>
    <mergeCell ref="M47:M53"/>
    <mergeCell ref="C43:C53"/>
    <mergeCell ref="D43:D53"/>
    <mergeCell ref="E43:E53"/>
    <mergeCell ref="F43:F53"/>
    <mergeCell ref="G43:G45"/>
    <mergeCell ref="H43:H45"/>
    <mergeCell ref="R39:R41"/>
    <mergeCell ref="S39:S41"/>
    <mergeCell ref="T39:T41"/>
    <mergeCell ref="J43:J45"/>
    <mergeCell ref="K43:K45"/>
    <mergeCell ref="L43:L45"/>
    <mergeCell ref="M43:M45"/>
    <mergeCell ref="N44:N45"/>
    <mergeCell ref="O44:O45"/>
    <mergeCell ref="G46:G53"/>
    <mergeCell ref="C34:C42"/>
    <mergeCell ref="D34:D42"/>
    <mergeCell ref="E34:E42"/>
    <mergeCell ref="F34:F42"/>
    <mergeCell ref="I34:I38"/>
    <mergeCell ref="N34:N37"/>
    <mergeCell ref="W36:W37"/>
    <mergeCell ref="X36:X37"/>
    <mergeCell ref="Y36:Y37"/>
    <mergeCell ref="G39:G41"/>
    <mergeCell ref="H39:H41"/>
    <mergeCell ref="I39:I41"/>
    <mergeCell ref="N39:N41"/>
    <mergeCell ref="O39:O41"/>
    <mergeCell ref="P39:P41"/>
    <mergeCell ref="Q39:Q41"/>
    <mergeCell ref="Q36:Q37"/>
    <mergeCell ref="R36:R37"/>
    <mergeCell ref="S36:S37"/>
    <mergeCell ref="T36:T37"/>
    <mergeCell ref="U36:U37"/>
    <mergeCell ref="V36:V37"/>
    <mergeCell ref="O34:O37"/>
    <mergeCell ref="J36:J37"/>
    <mergeCell ref="K36:K37"/>
    <mergeCell ref="L36:L37"/>
    <mergeCell ref="M36:M37"/>
    <mergeCell ref="P36:P37"/>
    <mergeCell ref="G34:G38"/>
    <mergeCell ref="H34:H38"/>
    <mergeCell ref="C24:C33"/>
    <mergeCell ref="D24:D33"/>
    <mergeCell ref="E24:E33"/>
    <mergeCell ref="F24:F33"/>
    <mergeCell ref="G24:G25"/>
    <mergeCell ref="H24:H25"/>
    <mergeCell ref="I24:I25"/>
    <mergeCell ref="G31:G33"/>
    <mergeCell ref="H31:H33"/>
    <mergeCell ref="I31:I33"/>
    <mergeCell ref="G26:G30"/>
    <mergeCell ref="H26:H30"/>
    <mergeCell ref="I26:I30"/>
    <mergeCell ref="N26:N27"/>
    <mergeCell ref="O26:O27"/>
    <mergeCell ref="P16:P22"/>
    <mergeCell ref="J31:J33"/>
    <mergeCell ref="K31:K33"/>
    <mergeCell ref="L31:L33"/>
    <mergeCell ref="M31:M33"/>
    <mergeCell ref="N32:N33"/>
    <mergeCell ref="O32:O33"/>
    <mergeCell ref="J24:J25"/>
    <mergeCell ref="K24:K25"/>
    <mergeCell ref="L24:L25"/>
    <mergeCell ref="M24:M25"/>
    <mergeCell ref="J26:J30"/>
    <mergeCell ref="K26:K30"/>
    <mergeCell ref="L26:L30"/>
    <mergeCell ref="M26:M30"/>
    <mergeCell ref="X16:X22"/>
    <mergeCell ref="Y16:Y22"/>
    <mergeCell ref="Z16:Z22"/>
    <mergeCell ref="AA16:AA22"/>
    <mergeCell ref="G18:G19"/>
    <mergeCell ref="H18:H19"/>
    <mergeCell ref="I18:I19"/>
    <mergeCell ref="G20:G22"/>
    <mergeCell ref="H20:H22"/>
    <mergeCell ref="Q16:Q22"/>
    <mergeCell ref="R16:R22"/>
    <mergeCell ref="S16:S22"/>
    <mergeCell ref="T16:T22"/>
    <mergeCell ref="U16:U22"/>
    <mergeCell ref="V16:V22"/>
    <mergeCell ref="I20:I22"/>
    <mergeCell ref="W16:W22"/>
    <mergeCell ref="AA10:AA11"/>
    <mergeCell ref="G13:G15"/>
    <mergeCell ref="H13:H15"/>
    <mergeCell ref="I13:I15"/>
    <mergeCell ref="J13:J14"/>
    <mergeCell ref="K13:K14"/>
    <mergeCell ref="L13:L14"/>
    <mergeCell ref="M13:M14"/>
    <mergeCell ref="AA13:AA15"/>
    <mergeCell ref="N14:N15"/>
    <mergeCell ref="U10:U11"/>
    <mergeCell ref="V10:V11"/>
    <mergeCell ref="W10:W11"/>
    <mergeCell ref="X10:X11"/>
    <mergeCell ref="Y10:Y11"/>
    <mergeCell ref="Z10:Z11"/>
    <mergeCell ref="O10:O11"/>
    <mergeCell ref="P10:P11"/>
    <mergeCell ref="Q10:Q11"/>
    <mergeCell ref="R10:R11"/>
    <mergeCell ref="S10:S11"/>
    <mergeCell ref="T10:T11"/>
    <mergeCell ref="O14:O15"/>
    <mergeCell ref="Z14:Z15"/>
    <mergeCell ref="C9:C23"/>
    <mergeCell ref="D9:D23"/>
    <mergeCell ref="E9:E15"/>
    <mergeCell ref="F9:F15"/>
    <mergeCell ref="G10:G12"/>
    <mergeCell ref="H10:H12"/>
    <mergeCell ref="I10:I12"/>
    <mergeCell ref="N10:N11"/>
    <mergeCell ref="N7:O7"/>
    <mergeCell ref="E16:E22"/>
    <mergeCell ref="F16:F22"/>
    <mergeCell ref="G16:G17"/>
    <mergeCell ref="H16:H17"/>
    <mergeCell ref="I16:I17"/>
    <mergeCell ref="N16:N22"/>
    <mergeCell ref="O16:O22"/>
    <mergeCell ref="C2:AA2"/>
    <mergeCell ref="C3:AA3"/>
    <mergeCell ref="C4:AA4"/>
    <mergeCell ref="C6:M6"/>
    <mergeCell ref="N6:AA6"/>
    <mergeCell ref="C7:C8"/>
    <mergeCell ref="D7:D8"/>
    <mergeCell ref="E7:F7"/>
    <mergeCell ref="G7:I7"/>
    <mergeCell ref="J7:M7"/>
    <mergeCell ref="Z7:Z8"/>
    <mergeCell ref="AA7:AA8"/>
    <mergeCell ref="P7:Q7"/>
    <mergeCell ref="R7:R8"/>
    <mergeCell ref="S7:S8"/>
    <mergeCell ref="T7:V7"/>
    <mergeCell ref="W7:Y7"/>
  </mergeCells>
  <conditionalFormatting sqref="V9:V10 Y10 Y42:Y68 V42:V68">
    <cfRule type="cellIs" dxfId="62" priority="10" stopIfTrue="1" operator="greaterThanOrEqual">
      <formula>80.01%</formula>
    </cfRule>
    <cfRule type="cellIs" dxfId="61" priority="11" stopIfTrue="1" operator="between">
      <formula>0.501</formula>
      <formula>0.8</formula>
    </cfRule>
    <cfRule type="cellIs" dxfId="60" priority="12" stopIfTrue="1" operator="lessThanOrEqual">
      <formula>0.5</formula>
    </cfRule>
  </conditionalFormatting>
  <conditionalFormatting sqref="Y9">
    <cfRule type="cellIs" dxfId="59" priority="7" stopIfTrue="1" operator="greaterThanOrEqual">
      <formula>80.01%</formula>
    </cfRule>
    <cfRule type="cellIs" dxfId="58" priority="8" stopIfTrue="1" operator="between">
      <formula>0.501</formula>
      <formula>0.8</formula>
    </cfRule>
    <cfRule type="cellIs" dxfId="57" priority="9" stopIfTrue="1" operator="lessThanOrEqual">
      <formula>0.5</formula>
    </cfRule>
  </conditionalFormatting>
  <conditionalFormatting sqref="V12:V16 V23:V36 V70 V38:V39">
    <cfRule type="cellIs" dxfId="56" priority="4" stopIfTrue="1" operator="greaterThanOrEqual">
      <formula>80.01%</formula>
    </cfRule>
    <cfRule type="cellIs" dxfId="55" priority="5" stopIfTrue="1" operator="between">
      <formula>0.501</formula>
      <formula>0.8</formula>
    </cfRule>
    <cfRule type="cellIs" dxfId="54" priority="6" stopIfTrue="1" operator="lessThanOrEqual">
      <formula>0.5</formula>
    </cfRule>
  </conditionalFormatting>
  <conditionalFormatting sqref="Y12:Y16 Y23:Y36 Y70 Y38:Y39">
    <cfRule type="cellIs" dxfId="53" priority="1" stopIfTrue="1" operator="greaterThanOrEqual">
      <formula>80.01%</formula>
    </cfRule>
    <cfRule type="cellIs" dxfId="52" priority="2" stopIfTrue="1" operator="between">
      <formula>0.501</formula>
      <formula>0.8</formula>
    </cfRule>
    <cfRule type="cellIs" dxfId="51" priority="3" stopIfTrue="1" operator="lessThanOrEqual">
      <formula>0.5</formula>
    </cfRule>
  </conditionalFormatting>
  <pageMargins left="0.39370078740157483" right="0.19685039370078741" top="0.59055118110236227" bottom="0.19685039370078741" header="0.31496062992125984" footer="0"/>
  <pageSetup paperSize="5" scale="23" orientation="landscape" r:id="rId1"/>
  <headerFooter alignWithMargins="0">
    <oddFooter>Página &amp;P de &amp;F</oddFooter>
  </headerFooter>
  <rowBreaks count="6" manualBreakCount="6">
    <brk id="23" max="27" man="1"/>
    <brk id="33" max="16383" man="1"/>
    <brk id="42" max="27" man="1"/>
    <brk id="53" max="27" man="1"/>
    <brk id="62" max="27" man="1"/>
    <brk id="70" max="27" man="1"/>
  </rowBreaks>
  <colBreaks count="1" manualBreakCount="1">
    <brk id="28" max="73"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76"/>
  <sheetViews>
    <sheetView view="pageBreakPreview" topLeftCell="L61" zoomScale="40" zoomScaleNormal="70" zoomScaleSheetLayoutView="40" workbookViewId="0">
      <selection activeCell="V53" sqref="V53"/>
    </sheetView>
  </sheetViews>
  <sheetFormatPr baseColWidth="10" defaultRowHeight="22.5" x14ac:dyDescent="0.35"/>
  <cols>
    <col min="1" max="1" width="2.85546875" style="1" customWidth="1"/>
    <col min="2" max="2" width="2" style="1" customWidth="1"/>
    <col min="3" max="4" width="10.140625" style="1" customWidth="1"/>
    <col min="5" max="5" width="7" style="6" customWidth="1"/>
    <col min="6" max="6" width="11" style="29" customWidth="1"/>
    <col min="7" max="7" width="7.7109375" style="6" customWidth="1"/>
    <col min="8" max="8" width="47.140625" style="30" customWidth="1"/>
    <col min="9" max="9" width="12.28515625" style="31" customWidth="1"/>
    <col min="10" max="10" width="11.42578125" style="6" customWidth="1"/>
    <col min="11" max="11" width="52.5703125" style="30" customWidth="1"/>
    <col min="12" max="12" width="11.5703125" style="32" customWidth="1"/>
    <col min="13" max="13" width="12.42578125" style="6" customWidth="1"/>
    <col min="14" max="14" width="15" style="6" customWidth="1"/>
    <col min="15" max="15" width="43.140625" style="6" customWidth="1"/>
    <col min="16" max="16" width="16.85546875" style="6" customWidth="1"/>
    <col min="17" max="17" width="42.85546875" style="6" customWidth="1"/>
    <col min="18" max="18" width="32.85546875" style="6" customWidth="1"/>
    <col min="19" max="19" width="24.28515625" style="6" customWidth="1"/>
    <col min="20" max="20" width="28.7109375" style="6" customWidth="1"/>
    <col min="21" max="21" width="29.140625" style="6" customWidth="1"/>
    <col min="22" max="22" width="23" style="6" customWidth="1"/>
    <col min="23" max="23" width="29.7109375" style="6" customWidth="1"/>
    <col min="24" max="24" width="29.42578125" style="6" customWidth="1"/>
    <col min="25" max="25" width="22.28515625" style="6" customWidth="1"/>
    <col min="26" max="26" width="75.7109375" style="6" customWidth="1"/>
    <col min="27" max="27" width="77.42578125" style="6" customWidth="1"/>
    <col min="28" max="28" width="6.140625" style="6" customWidth="1"/>
    <col min="29" max="29" width="12.42578125" style="6" customWidth="1"/>
    <col min="30" max="30" width="23.7109375" style="6" customWidth="1"/>
    <col min="31" max="31" width="10.28515625" style="6" customWidth="1"/>
    <col min="32" max="32" width="8" style="6" customWidth="1"/>
    <col min="33" max="16384" width="11.42578125" style="6"/>
  </cols>
  <sheetData>
    <row r="1" spans="3:35" ht="7.5" customHeight="1" x14ac:dyDescent="0.35">
      <c r="E1" s="1"/>
      <c r="F1" s="2"/>
      <c r="G1" s="1"/>
      <c r="H1" s="3"/>
      <c r="I1" s="4"/>
      <c r="J1" s="1"/>
      <c r="K1" s="3"/>
      <c r="L1" s="5"/>
      <c r="M1" s="1"/>
      <c r="N1" s="1"/>
      <c r="O1" s="1"/>
      <c r="P1" s="1"/>
      <c r="Q1" s="1"/>
      <c r="R1" s="1"/>
      <c r="S1" s="1"/>
      <c r="T1" s="1"/>
      <c r="U1" s="1"/>
      <c r="V1" s="1"/>
      <c r="W1" s="1"/>
      <c r="X1" s="1"/>
      <c r="Y1" s="1"/>
      <c r="Z1" s="1"/>
      <c r="AA1" s="1"/>
      <c r="AB1" s="1"/>
      <c r="AC1" s="1"/>
      <c r="AD1" s="1"/>
      <c r="AE1" s="1"/>
    </row>
    <row r="2" spans="3:35" ht="42" customHeight="1" x14ac:dyDescent="0.25">
      <c r="C2" s="910" t="s">
        <v>0</v>
      </c>
      <c r="D2" s="910"/>
      <c r="E2" s="910"/>
      <c r="F2" s="910"/>
      <c r="G2" s="910"/>
      <c r="H2" s="910"/>
      <c r="I2" s="910"/>
      <c r="J2" s="910"/>
      <c r="K2" s="910"/>
      <c r="L2" s="910"/>
      <c r="M2" s="910"/>
      <c r="N2" s="910"/>
      <c r="O2" s="910"/>
      <c r="P2" s="910"/>
      <c r="Q2" s="910"/>
      <c r="R2" s="910"/>
      <c r="S2" s="910"/>
      <c r="T2" s="910"/>
      <c r="U2" s="910"/>
      <c r="V2" s="910"/>
      <c r="W2" s="910"/>
      <c r="X2" s="910"/>
      <c r="Y2" s="910"/>
      <c r="Z2" s="910"/>
      <c r="AA2" s="910"/>
      <c r="AB2" s="7"/>
      <c r="AC2" s="7"/>
      <c r="AD2" s="7"/>
      <c r="AE2" s="1"/>
    </row>
    <row r="3" spans="3:35" ht="27" customHeight="1" x14ac:dyDescent="0.25">
      <c r="C3" s="910" t="s">
        <v>486</v>
      </c>
      <c r="D3" s="910"/>
      <c r="E3" s="910"/>
      <c r="F3" s="910"/>
      <c r="G3" s="910"/>
      <c r="H3" s="910"/>
      <c r="I3" s="910"/>
      <c r="J3" s="910"/>
      <c r="K3" s="910"/>
      <c r="L3" s="910"/>
      <c r="M3" s="910"/>
      <c r="N3" s="910"/>
      <c r="O3" s="910"/>
      <c r="P3" s="910"/>
      <c r="Q3" s="910"/>
      <c r="R3" s="910"/>
      <c r="S3" s="910"/>
      <c r="T3" s="910"/>
      <c r="U3" s="910"/>
      <c r="V3" s="910"/>
      <c r="W3" s="910"/>
      <c r="X3" s="910"/>
      <c r="Y3" s="910"/>
      <c r="Z3" s="910"/>
      <c r="AA3" s="910"/>
      <c r="AB3" s="7"/>
      <c r="AC3" s="7"/>
      <c r="AD3" s="7"/>
      <c r="AE3" s="1"/>
    </row>
    <row r="4" spans="3:35" ht="36" customHeight="1" x14ac:dyDescent="0.25">
      <c r="C4" s="911" t="s">
        <v>587</v>
      </c>
      <c r="D4" s="911"/>
      <c r="E4" s="911"/>
      <c r="F4" s="911"/>
      <c r="G4" s="911"/>
      <c r="H4" s="911"/>
      <c r="I4" s="911"/>
      <c r="J4" s="911"/>
      <c r="K4" s="911"/>
      <c r="L4" s="911"/>
      <c r="M4" s="911"/>
      <c r="N4" s="911"/>
      <c r="O4" s="911"/>
      <c r="P4" s="911"/>
      <c r="Q4" s="911"/>
      <c r="R4" s="911"/>
      <c r="S4" s="911"/>
      <c r="T4" s="911"/>
      <c r="U4" s="911"/>
      <c r="V4" s="911"/>
      <c r="W4" s="911"/>
      <c r="X4" s="911"/>
      <c r="Y4" s="911"/>
      <c r="Z4" s="911"/>
      <c r="AA4" s="911"/>
      <c r="AB4" s="442"/>
      <c r="AC4" s="442"/>
      <c r="AD4" s="442"/>
      <c r="AE4" s="1"/>
    </row>
    <row r="5" spans="3:35" ht="19.5" customHeight="1" thickBot="1" x14ac:dyDescent="0.3">
      <c r="E5" s="8"/>
      <c r="F5" s="8"/>
      <c r="G5" s="8"/>
      <c r="H5" s="8"/>
      <c r="I5" s="8"/>
      <c r="J5" s="8"/>
      <c r="K5" s="8"/>
      <c r="L5" s="8"/>
      <c r="M5" s="8"/>
      <c r="N5" s="8"/>
      <c r="O5" s="8"/>
      <c r="P5" s="8"/>
      <c r="Q5" s="8"/>
      <c r="R5" s="8"/>
      <c r="S5" s="8"/>
      <c r="T5" s="8"/>
      <c r="U5" s="8"/>
      <c r="V5" s="8"/>
      <c r="W5" s="8"/>
      <c r="X5" s="8"/>
      <c r="Y5" s="8"/>
      <c r="Z5" s="8"/>
      <c r="AA5" s="8"/>
      <c r="AB5" s="8"/>
      <c r="AC5" s="8"/>
      <c r="AD5" s="8"/>
      <c r="AE5" s="1"/>
    </row>
    <row r="6" spans="3:35" ht="42.75" customHeight="1" thickBot="1" x14ac:dyDescent="0.3">
      <c r="C6" s="912" t="s">
        <v>1</v>
      </c>
      <c r="D6" s="913"/>
      <c r="E6" s="913"/>
      <c r="F6" s="913"/>
      <c r="G6" s="913"/>
      <c r="H6" s="913"/>
      <c r="I6" s="913"/>
      <c r="J6" s="913"/>
      <c r="K6" s="913"/>
      <c r="L6" s="913"/>
      <c r="M6" s="914"/>
      <c r="N6" s="915" t="s">
        <v>2</v>
      </c>
      <c r="O6" s="916"/>
      <c r="P6" s="916"/>
      <c r="Q6" s="916"/>
      <c r="R6" s="916"/>
      <c r="S6" s="916"/>
      <c r="T6" s="916"/>
      <c r="U6" s="916"/>
      <c r="V6" s="916"/>
      <c r="W6" s="916"/>
      <c r="X6" s="916"/>
      <c r="Y6" s="916"/>
      <c r="Z6" s="916"/>
      <c r="AA6" s="917"/>
      <c r="AB6" s="9"/>
      <c r="AC6" s="9"/>
      <c r="AD6" s="9"/>
      <c r="AE6" s="1"/>
    </row>
    <row r="7" spans="3:35" ht="56.25" customHeight="1" thickBot="1" x14ac:dyDescent="0.3">
      <c r="C7" s="918" t="s">
        <v>3</v>
      </c>
      <c r="D7" s="918" t="s">
        <v>4</v>
      </c>
      <c r="E7" s="920" t="s">
        <v>5</v>
      </c>
      <c r="F7" s="921"/>
      <c r="G7" s="922" t="s">
        <v>6</v>
      </c>
      <c r="H7" s="923"/>
      <c r="I7" s="924"/>
      <c r="J7" s="922" t="s">
        <v>7</v>
      </c>
      <c r="K7" s="923"/>
      <c r="L7" s="923"/>
      <c r="M7" s="924"/>
      <c r="N7" s="898" t="s">
        <v>6</v>
      </c>
      <c r="O7" s="899"/>
      <c r="P7" s="898" t="s">
        <v>7</v>
      </c>
      <c r="Q7" s="899"/>
      <c r="R7" s="900" t="s">
        <v>8</v>
      </c>
      <c r="S7" s="902" t="s">
        <v>9</v>
      </c>
      <c r="T7" s="898" t="s">
        <v>589</v>
      </c>
      <c r="U7" s="904"/>
      <c r="V7" s="899"/>
      <c r="W7" s="905" t="s">
        <v>590</v>
      </c>
      <c r="X7" s="906"/>
      <c r="Y7" s="907"/>
      <c r="Z7" s="925" t="s">
        <v>266</v>
      </c>
      <c r="AA7" s="925" t="s">
        <v>267</v>
      </c>
      <c r="AB7" s="10"/>
      <c r="AC7" s="10"/>
      <c r="AD7" s="10"/>
      <c r="AE7" s="1"/>
    </row>
    <row r="8" spans="3:35" ht="94.5" customHeight="1" thickBot="1" x14ac:dyDescent="0.3">
      <c r="C8" s="919"/>
      <c r="D8" s="919"/>
      <c r="E8" s="66" t="s">
        <v>10</v>
      </c>
      <c r="F8" s="66" t="s">
        <v>11</v>
      </c>
      <c r="G8" s="66" t="s">
        <v>10</v>
      </c>
      <c r="H8" s="71" t="s">
        <v>12</v>
      </c>
      <c r="I8" s="66" t="s">
        <v>13</v>
      </c>
      <c r="J8" s="66" t="s">
        <v>10</v>
      </c>
      <c r="K8" s="71" t="s">
        <v>14</v>
      </c>
      <c r="L8" s="66" t="s">
        <v>15</v>
      </c>
      <c r="M8" s="66" t="s">
        <v>16</v>
      </c>
      <c r="N8" s="440" t="s">
        <v>17</v>
      </c>
      <c r="O8" s="441" t="s">
        <v>12</v>
      </c>
      <c r="P8" s="67" t="s">
        <v>17</v>
      </c>
      <c r="Q8" s="441" t="s">
        <v>14</v>
      </c>
      <c r="R8" s="901"/>
      <c r="S8" s="903"/>
      <c r="T8" s="68" t="s">
        <v>591</v>
      </c>
      <c r="U8" s="68" t="s">
        <v>592</v>
      </c>
      <c r="V8" s="68" t="s">
        <v>265</v>
      </c>
      <c r="W8" s="68" t="s">
        <v>593</v>
      </c>
      <c r="X8" s="68" t="s">
        <v>594</v>
      </c>
      <c r="Y8" s="68" t="s">
        <v>265</v>
      </c>
      <c r="Z8" s="926"/>
      <c r="AA8" s="926"/>
      <c r="AB8" s="10"/>
      <c r="AC8" s="10"/>
      <c r="AD8" s="10"/>
      <c r="AE8" s="1"/>
    </row>
    <row r="9" spans="3:35" ht="167.25" customHeight="1" thickBot="1" x14ac:dyDescent="0.3">
      <c r="C9" s="885" t="s">
        <v>18</v>
      </c>
      <c r="D9" s="888" t="s">
        <v>19</v>
      </c>
      <c r="E9" s="891">
        <v>1</v>
      </c>
      <c r="F9" s="893" t="s">
        <v>20</v>
      </c>
      <c r="G9" s="95">
        <v>101</v>
      </c>
      <c r="H9" s="96" t="s">
        <v>21</v>
      </c>
      <c r="I9" s="97">
        <v>0.6</v>
      </c>
      <c r="J9" s="443" t="s">
        <v>22</v>
      </c>
      <c r="K9" s="96" t="s">
        <v>23</v>
      </c>
      <c r="L9" s="98" t="s">
        <v>24</v>
      </c>
      <c r="M9" s="99">
        <v>1</v>
      </c>
      <c r="N9" s="450" t="s">
        <v>25</v>
      </c>
      <c r="O9" s="100" t="s">
        <v>26</v>
      </c>
      <c r="P9" s="44" t="s">
        <v>27</v>
      </c>
      <c r="Q9" s="33" t="s">
        <v>306</v>
      </c>
      <c r="R9" s="34" t="s">
        <v>307</v>
      </c>
      <c r="S9" s="34" t="s">
        <v>28</v>
      </c>
      <c r="T9" s="94">
        <v>448904</v>
      </c>
      <c r="U9" s="92">
        <v>-502995</v>
      </c>
      <c r="V9" s="50">
        <f>+U9/T9</f>
        <v>-1.120495696184485</v>
      </c>
      <c r="W9" s="69">
        <f>670651+T9</f>
        <v>1119555</v>
      </c>
      <c r="X9" s="70">
        <f>123283+U9</f>
        <v>-379712</v>
      </c>
      <c r="Y9" s="50">
        <f>+X9/W9</f>
        <v>-0.33916332828668533</v>
      </c>
      <c r="Z9" s="139" t="s">
        <v>618</v>
      </c>
      <c r="AA9" s="254" t="s">
        <v>619</v>
      </c>
      <c r="AB9" s="11"/>
      <c r="AC9" s="12"/>
      <c r="AD9" s="91">
        <f>+X9+X10</f>
        <v>-203936</v>
      </c>
      <c r="AE9" s="1"/>
    </row>
    <row r="10" spans="3:35" ht="81" customHeight="1" thickBot="1" x14ac:dyDescent="0.3">
      <c r="C10" s="886"/>
      <c r="D10" s="889"/>
      <c r="E10" s="892"/>
      <c r="F10" s="894"/>
      <c r="G10" s="832">
        <v>102</v>
      </c>
      <c r="H10" s="835" t="s">
        <v>29</v>
      </c>
      <c r="I10" s="895">
        <v>0.2</v>
      </c>
      <c r="J10" s="443" t="s">
        <v>30</v>
      </c>
      <c r="K10" s="446" t="s">
        <v>31</v>
      </c>
      <c r="L10" s="448" t="s">
        <v>24</v>
      </c>
      <c r="M10" s="450">
        <v>0.4</v>
      </c>
      <c r="N10" s="847" t="s">
        <v>32</v>
      </c>
      <c r="O10" s="813" t="s">
        <v>33</v>
      </c>
      <c r="P10" s="847" t="s">
        <v>34</v>
      </c>
      <c r="Q10" s="813" t="s">
        <v>331</v>
      </c>
      <c r="R10" s="858" t="s">
        <v>305</v>
      </c>
      <c r="S10" s="858" t="s">
        <v>28</v>
      </c>
      <c r="T10" s="881">
        <v>65000</v>
      </c>
      <c r="U10" s="881">
        <v>65499</v>
      </c>
      <c r="V10" s="769">
        <f t="shared" ref="V10:V70" si="0">+U10/T10</f>
        <v>1.0076769230769231</v>
      </c>
      <c r="W10" s="881">
        <f>105000+T10</f>
        <v>170000</v>
      </c>
      <c r="X10" s="883">
        <f>110277+U10</f>
        <v>175776</v>
      </c>
      <c r="Y10" s="769">
        <f t="shared" ref="Y10:Y72" si="1">+X10/W10</f>
        <v>1.0339764705882353</v>
      </c>
      <c r="Z10" s="773" t="s">
        <v>640</v>
      </c>
      <c r="AA10" s="928" t="s">
        <v>641</v>
      </c>
      <c r="AB10" s="11"/>
      <c r="AC10" s="12"/>
      <c r="AD10" s="13"/>
      <c r="AE10" s="1"/>
    </row>
    <row r="11" spans="3:35" ht="96.75" customHeight="1" thickBot="1" x14ac:dyDescent="0.3">
      <c r="C11" s="886"/>
      <c r="D11" s="889"/>
      <c r="E11" s="892"/>
      <c r="F11" s="894"/>
      <c r="G11" s="833"/>
      <c r="H11" s="836"/>
      <c r="I11" s="896"/>
      <c r="J11" s="14" t="s">
        <v>35</v>
      </c>
      <c r="K11" s="47" t="s">
        <v>36</v>
      </c>
      <c r="L11" s="448" t="s">
        <v>24</v>
      </c>
      <c r="M11" s="44">
        <v>0.3</v>
      </c>
      <c r="N11" s="849"/>
      <c r="O11" s="815"/>
      <c r="P11" s="849"/>
      <c r="Q11" s="815"/>
      <c r="R11" s="860"/>
      <c r="S11" s="860"/>
      <c r="T11" s="882"/>
      <c r="U11" s="882"/>
      <c r="V11" s="770"/>
      <c r="W11" s="882"/>
      <c r="X11" s="884"/>
      <c r="Y11" s="770"/>
      <c r="Z11" s="774"/>
      <c r="AA11" s="929"/>
      <c r="AB11" s="11"/>
      <c r="AC11" s="12"/>
      <c r="AD11" s="12"/>
      <c r="AE11" s="1"/>
    </row>
    <row r="12" spans="3:35" ht="243" customHeight="1" thickBot="1" x14ac:dyDescent="0.3">
      <c r="C12" s="886"/>
      <c r="D12" s="889"/>
      <c r="E12" s="892"/>
      <c r="F12" s="894"/>
      <c r="G12" s="834"/>
      <c r="H12" s="837"/>
      <c r="I12" s="897"/>
      <c r="J12" s="14" t="s">
        <v>37</v>
      </c>
      <c r="K12" s="47" t="s">
        <v>38</v>
      </c>
      <c r="L12" s="72" t="s">
        <v>24</v>
      </c>
      <c r="M12" s="44">
        <v>0.3</v>
      </c>
      <c r="N12" s="44" t="s">
        <v>39</v>
      </c>
      <c r="O12" s="33" t="s">
        <v>308</v>
      </c>
      <c r="P12" s="44" t="s">
        <v>40</v>
      </c>
      <c r="Q12" s="33" t="s">
        <v>308</v>
      </c>
      <c r="R12" s="34" t="s">
        <v>41</v>
      </c>
      <c r="S12" s="34" t="s">
        <v>42</v>
      </c>
      <c r="T12" s="36">
        <v>1</v>
      </c>
      <c r="U12" s="36">
        <v>0</v>
      </c>
      <c r="V12" s="50">
        <f t="shared" si="0"/>
        <v>0</v>
      </c>
      <c r="W12" s="36">
        <f>3+T12</f>
        <v>4</v>
      </c>
      <c r="X12" s="36">
        <f>2+U12</f>
        <v>2</v>
      </c>
      <c r="Y12" s="50">
        <f t="shared" si="1"/>
        <v>0.5</v>
      </c>
      <c r="Z12" s="248" t="s">
        <v>657</v>
      </c>
      <c r="AA12" s="254" t="s">
        <v>595</v>
      </c>
      <c r="AB12" s="11"/>
      <c r="AC12" s="12"/>
      <c r="AD12" s="12"/>
      <c r="AE12" s="1"/>
    </row>
    <row r="13" spans="3:35" ht="132" customHeight="1" thickBot="1" x14ac:dyDescent="0.3">
      <c r="C13" s="886"/>
      <c r="D13" s="889"/>
      <c r="E13" s="892"/>
      <c r="F13" s="894"/>
      <c r="G13" s="832">
        <v>103</v>
      </c>
      <c r="H13" s="835" t="s">
        <v>43</v>
      </c>
      <c r="I13" s="895">
        <v>0.2</v>
      </c>
      <c r="J13" s="841" t="s">
        <v>44</v>
      </c>
      <c r="K13" s="908" t="s">
        <v>45</v>
      </c>
      <c r="L13" s="844" t="s">
        <v>24</v>
      </c>
      <c r="M13" s="847">
        <v>0.5</v>
      </c>
      <c r="N13" s="101" t="s">
        <v>106</v>
      </c>
      <c r="O13" s="403" t="s">
        <v>324</v>
      </c>
      <c r="P13" s="404" t="s">
        <v>108</v>
      </c>
      <c r="Q13" s="403" t="s">
        <v>329</v>
      </c>
      <c r="R13" s="405" t="s">
        <v>325</v>
      </c>
      <c r="S13" s="406" t="s">
        <v>42</v>
      </c>
      <c r="T13" s="36">
        <v>0</v>
      </c>
      <c r="U13" s="36">
        <v>0</v>
      </c>
      <c r="V13" s="50" t="e">
        <f t="shared" si="0"/>
        <v>#DIV/0!</v>
      </c>
      <c r="W13" s="36">
        <v>0</v>
      </c>
      <c r="X13" s="36">
        <v>0</v>
      </c>
      <c r="Y13" s="50" t="e">
        <f t="shared" si="1"/>
        <v>#DIV/0!</v>
      </c>
      <c r="Z13" s="930" t="s">
        <v>656</v>
      </c>
      <c r="AA13" s="968" t="s">
        <v>293</v>
      </c>
      <c r="AB13" s="11"/>
      <c r="AC13" s="12"/>
      <c r="AD13" s="12"/>
      <c r="AE13" s="76"/>
      <c r="AG13" s="77"/>
      <c r="AI13" s="77"/>
    </row>
    <row r="14" spans="3:35" ht="132" customHeight="1" thickBot="1" x14ac:dyDescent="0.3">
      <c r="C14" s="886"/>
      <c r="D14" s="889"/>
      <c r="E14" s="892"/>
      <c r="F14" s="894"/>
      <c r="G14" s="833"/>
      <c r="H14" s="836"/>
      <c r="I14" s="896"/>
      <c r="J14" s="843"/>
      <c r="K14" s="909"/>
      <c r="L14" s="846"/>
      <c r="M14" s="849"/>
      <c r="N14" s="848" t="s">
        <v>46</v>
      </c>
      <c r="O14" s="963" t="s">
        <v>47</v>
      </c>
      <c r="P14" s="465" t="s">
        <v>48</v>
      </c>
      <c r="Q14" s="466" t="s">
        <v>330</v>
      </c>
      <c r="R14" s="405" t="s">
        <v>310</v>
      </c>
      <c r="S14" s="406" t="s">
        <v>49</v>
      </c>
      <c r="T14" s="36">
        <v>0</v>
      </c>
      <c r="U14" s="36">
        <v>0</v>
      </c>
      <c r="V14" s="50" t="e">
        <f>+U14/T14</f>
        <v>#DIV/0!</v>
      </c>
      <c r="W14" s="36">
        <v>0</v>
      </c>
      <c r="X14" s="36">
        <v>0</v>
      </c>
      <c r="Y14" s="50" t="e">
        <f>+X14/W14</f>
        <v>#DIV/0!</v>
      </c>
      <c r="Z14" s="967"/>
      <c r="AA14" s="969"/>
      <c r="AB14" s="11"/>
      <c r="AC14" s="12"/>
      <c r="AD14" s="12"/>
      <c r="AE14" s="76"/>
      <c r="AG14" s="77"/>
      <c r="AH14" s="77"/>
      <c r="AI14" s="77"/>
    </row>
    <row r="15" spans="3:35" ht="132" customHeight="1" thickBot="1" x14ac:dyDescent="0.3">
      <c r="C15" s="886"/>
      <c r="D15" s="889"/>
      <c r="E15" s="892"/>
      <c r="F15" s="894"/>
      <c r="G15" s="834"/>
      <c r="H15" s="837"/>
      <c r="I15" s="897"/>
      <c r="J15" s="443" t="s">
        <v>50</v>
      </c>
      <c r="K15" s="446" t="s">
        <v>287</v>
      </c>
      <c r="L15" s="448" t="s">
        <v>24</v>
      </c>
      <c r="M15" s="450">
        <v>0.5</v>
      </c>
      <c r="N15" s="849"/>
      <c r="O15" s="964"/>
      <c r="P15" s="404" t="s">
        <v>51</v>
      </c>
      <c r="Q15" s="403" t="s">
        <v>309</v>
      </c>
      <c r="R15" s="406" t="s">
        <v>311</v>
      </c>
      <c r="S15" s="406" t="s">
        <v>42</v>
      </c>
      <c r="T15" s="37">
        <v>0</v>
      </c>
      <c r="U15" s="36">
        <v>0</v>
      </c>
      <c r="V15" s="50" t="e">
        <f t="shared" si="0"/>
        <v>#DIV/0!</v>
      </c>
      <c r="W15" s="37">
        <v>0</v>
      </c>
      <c r="X15" s="36">
        <v>0</v>
      </c>
      <c r="Y15" s="50" t="e">
        <f t="shared" si="1"/>
        <v>#DIV/0!</v>
      </c>
      <c r="Z15" s="931"/>
      <c r="AA15" s="970"/>
      <c r="AB15" s="11"/>
      <c r="AC15" s="12"/>
      <c r="AD15" s="12"/>
      <c r="AE15" s="1"/>
    </row>
    <row r="16" spans="3:35" ht="108.75" customHeight="1" thickBot="1" x14ac:dyDescent="0.3">
      <c r="C16" s="886"/>
      <c r="D16" s="889"/>
      <c r="E16" s="850">
        <v>2</v>
      </c>
      <c r="F16" s="853" t="s">
        <v>52</v>
      </c>
      <c r="G16" s="878">
        <v>201</v>
      </c>
      <c r="H16" s="835" t="s">
        <v>283</v>
      </c>
      <c r="I16" s="868">
        <v>0.3</v>
      </c>
      <c r="J16" s="15" t="s">
        <v>53</v>
      </c>
      <c r="K16" s="47" t="s">
        <v>54</v>
      </c>
      <c r="L16" s="73" t="s">
        <v>24</v>
      </c>
      <c r="M16" s="44">
        <v>0.5</v>
      </c>
      <c r="N16" s="810" t="s">
        <v>98</v>
      </c>
      <c r="O16" s="813" t="s">
        <v>56</v>
      </c>
      <c r="P16" s="847" t="s">
        <v>99</v>
      </c>
      <c r="Q16" s="813" t="s">
        <v>351</v>
      </c>
      <c r="R16" s="858" t="s">
        <v>58</v>
      </c>
      <c r="S16" s="858" t="s">
        <v>42</v>
      </c>
      <c r="T16" s="865">
        <v>1</v>
      </c>
      <c r="U16" s="865">
        <v>0</v>
      </c>
      <c r="V16" s="769">
        <f t="shared" si="0"/>
        <v>0</v>
      </c>
      <c r="W16" s="865">
        <f>1+T16</f>
        <v>2</v>
      </c>
      <c r="X16" s="865">
        <f>1+U16</f>
        <v>1</v>
      </c>
      <c r="Y16" s="769">
        <f t="shared" si="1"/>
        <v>0.5</v>
      </c>
      <c r="Z16" s="830" t="s">
        <v>628</v>
      </c>
      <c r="AA16" s="927" t="s">
        <v>629</v>
      </c>
      <c r="AB16" s="11"/>
      <c r="AC16" s="12"/>
      <c r="AD16" s="13"/>
      <c r="AE16" s="1"/>
      <c r="AF16" s="6">
        <f>40+145</f>
        <v>185</v>
      </c>
    </row>
    <row r="17" spans="2:33" ht="66" customHeight="1" thickBot="1" x14ac:dyDescent="0.3">
      <c r="C17" s="886"/>
      <c r="D17" s="889"/>
      <c r="E17" s="851"/>
      <c r="F17" s="854"/>
      <c r="G17" s="879"/>
      <c r="H17" s="837"/>
      <c r="I17" s="869"/>
      <c r="J17" s="16" t="s">
        <v>59</v>
      </c>
      <c r="K17" s="446" t="s">
        <v>60</v>
      </c>
      <c r="L17" s="74" t="s">
        <v>24</v>
      </c>
      <c r="M17" s="450">
        <v>0.5</v>
      </c>
      <c r="N17" s="811"/>
      <c r="O17" s="814"/>
      <c r="P17" s="848"/>
      <c r="Q17" s="814"/>
      <c r="R17" s="859"/>
      <c r="S17" s="859"/>
      <c r="T17" s="866"/>
      <c r="U17" s="866"/>
      <c r="V17" s="779"/>
      <c r="W17" s="866"/>
      <c r="X17" s="866"/>
      <c r="Y17" s="779"/>
      <c r="Z17" s="933"/>
      <c r="AA17" s="932"/>
      <c r="AB17" s="11"/>
      <c r="AC17" s="12"/>
      <c r="AD17" s="13"/>
      <c r="AE17" s="1"/>
    </row>
    <row r="18" spans="2:33" ht="54.75" customHeight="1" thickBot="1" x14ac:dyDescent="0.3">
      <c r="C18" s="886"/>
      <c r="D18" s="889"/>
      <c r="E18" s="851"/>
      <c r="F18" s="854"/>
      <c r="G18" s="878">
        <v>202</v>
      </c>
      <c r="H18" s="835" t="s">
        <v>281</v>
      </c>
      <c r="I18" s="868">
        <v>0.3</v>
      </c>
      <c r="J18" s="16" t="s">
        <v>61</v>
      </c>
      <c r="K18" s="446" t="s">
        <v>62</v>
      </c>
      <c r="L18" s="74" t="s">
        <v>24</v>
      </c>
      <c r="M18" s="450">
        <v>0.5</v>
      </c>
      <c r="N18" s="811"/>
      <c r="O18" s="814"/>
      <c r="P18" s="848"/>
      <c r="Q18" s="814"/>
      <c r="R18" s="859"/>
      <c r="S18" s="859"/>
      <c r="T18" s="866"/>
      <c r="U18" s="866"/>
      <c r="V18" s="779"/>
      <c r="W18" s="866"/>
      <c r="X18" s="866"/>
      <c r="Y18" s="779"/>
      <c r="Z18" s="933"/>
      <c r="AA18" s="932"/>
      <c r="AB18" s="11"/>
      <c r="AC18" s="12"/>
      <c r="AD18" s="13"/>
      <c r="AE18" s="1"/>
    </row>
    <row r="19" spans="2:33" ht="88.5" customHeight="1" thickBot="1" x14ac:dyDescent="0.3">
      <c r="C19" s="886"/>
      <c r="D19" s="889"/>
      <c r="E19" s="851"/>
      <c r="F19" s="854"/>
      <c r="G19" s="879"/>
      <c r="H19" s="837"/>
      <c r="I19" s="869"/>
      <c r="J19" s="15" t="s">
        <v>63</v>
      </c>
      <c r="K19" s="47" t="s">
        <v>64</v>
      </c>
      <c r="L19" s="73" t="s">
        <v>24</v>
      </c>
      <c r="M19" s="44">
        <v>0.5</v>
      </c>
      <c r="N19" s="811"/>
      <c r="O19" s="814"/>
      <c r="P19" s="848"/>
      <c r="Q19" s="814"/>
      <c r="R19" s="859"/>
      <c r="S19" s="859"/>
      <c r="T19" s="866"/>
      <c r="U19" s="866"/>
      <c r="V19" s="779"/>
      <c r="W19" s="866"/>
      <c r="X19" s="866"/>
      <c r="Y19" s="779"/>
      <c r="Z19" s="933"/>
      <c r="AA19" s="932"/>
      <c r="AB19" s="11"/>
      <c r="AC19" s="12"/>
      <c r="AD19" s="17"/>
      <c r="AE19" s="1"/>
    </row>
    <row r="20" spans="2:33" ht="66" customHeight="1" thickBot="1" x14ac:dyDescent="0.3">
      <c r="C20" s="886"/>
      <c r="D20" s="889"/>
      <c r="E20" s="851"/>
      <c r="F20" s="854"/>
      <c r="G20" s="878">
        <v>203</v>
      </c>
      <c r="H20" s="835" t="s">
        <v>282</v>
      </c>
      <c r="I20" s="868">
        <v>0.2</v>
      </c>
      <c r="J20" s="15" t="s">
        <v>65</v>
      </c>
      <c r="K20" s="47" t="s">
        <v>66</v>
      </c>
      <c r="L20" s="73" t="s">
        <v>24</v>
      </c>
      <c r="M20" s="44">
        <v>0.4</v>
      </c>
      <c r="N20" s="811"/>
      <c r="O20" s="814"/>
      <c r="P20" s="848"/>
      <c r="Q20" s="814"/>
      <c r="R20" s="859"/>
      <c r="S20" s="859"/>
      <c r="T20" s="866"/>
      <c r="U20" s="866"/>
      <c r="V20" s="779"/>
      <c r="W20" s="866"/>
      <c r="X20" s="866"/>
      <c r="Y20" s="779"/>
      <c r="Z20" s="933"/>
      <c r="AA20" s="932"/>
      <c r="AB20" s="11"/>
      <c r="AC20" s="12"/>
      <c r="AD20" s="12"/>
      <c r="AE20" s="1"/>
    </row>
    <row r="21" spans="2:33" ht="82.5" customHeight="1" thickBot="1" x14ac:dyDescent="0.3">
      <c r="C21" s="886"/>
      <c r="D21" s="889"/>
      <c r="E21" s="851"/>
      <c r="F21" s="854"/>
      <c r="G21" s="880"/>
      <c r="H21" s="836"/>
      <c r="I21" s="875"/>
      <c r="J21" s="15" t="s">
        <v>67</v>
      </c>
      <c r="K21" s="47" t="s">
        <v>68</v>
      </c>
      <c r="L21" s="73" t="s">
        <v>24</v>
      </c>
      <c r="M21" s="44">
        <v>0.3</v>
      </c>
      <c r="N21" s="811"/>
      <c r="O21" s="814"/>
      <c r="P21" s="848"/>
      <c r="Q21" s="814"/>
      <c r="R21" s="859"/>
      <c r="S21" s="859"/>
      <c r="T21" s="866"/>
      <c r="U21" s="866"/>
      <c r="V21" s="779"/>
      <c r="W21" s="866"/>
      <c r="X21" s="866"/>
      <c r="Y21" s="779"/>
      <c r="Z21" s="933"/>
      <c r="AA21" s="932"/>
      <c r="AB21" s="11"/>
      <c r="AC21" s="11"/>
      <c r="AD21" s="12"/>
      <c r="AE21" s="1"/>
    </row>
    <row r="22" spans="2:33" ht="89.25" customHeight="1" thickBot="1" x14ac:dyDescent="0.3">
      <c r="C22" s="886"/>
      <c r="D22" s="889"/>
      <c r="E22" s="852"/>
      <c r="F22" s="855"/>
      <c r="G22" s="879"/>
      <c r="H22" s="837"/>
      <c r="I22" s="869"/>
      <c r="J22" s="18" t="s">
        <v>67</v>
      </c>
      <c r="K22" s="48" t="s">
        <v>69</v>
      </c>
      <c r="L22" s="75" t="s">
        <v>24</v>
      </c>
      <c r="M22" s="45">
        <v>0.3</v>
      </c>
      <c r="N22" s="812"/>
      <c r="O22" s="815"/>
      <c r="P22" s="849"/>
      <c r="Q22" s="815"/>
      <c r="R22" s="860"/>
      <c r="S22" s="860"/>
      <c r="T22" s="867"/>
      <c r="U22" s="867"/>
      <c r="V22" s="770"/>
      <c r="W22" s="867"/>
      <c r="X22" s="867"/>
      <c r="Y22" s="770"/>
      <c r="Z22" s="831"/>
      <c r="AA22" s="819"/>
      <c r="AB22" s="11"/>
      <c r="AC22" s="11"/>
      <c r="AD22" s="11"/>
      <c r="AE22" s="1"/>
    </row>
    <row r="23" spans="2:33" ht="204" customHeight="1" thickBot="1" x14ac:dyDescent="0.3">
      <c r="C23" s="887"/>
      <c r="D23" s="890"/>
      <c r="E23" s="355">
        <v>3</v>
      </c>
      <c r="F23" s="356" t="s">
        <v>70</v>
      </c>
      <c r="G23" s="445">
        <v>301</v>
      </c>
      <c r="H23" s="447" t="s">
        <v>71</v>
      </c>
      <c r="I23" s="455">
        <v>0.1</v>
      </c>
      <c r="J23" s="19" t="s">
        <v>72</v>
      </c>
      <c r="K23" s="447" t="s">
        <v>288</v>
      </c>
      <c r="L23" s="73" t="s">
        <v>24</v>
      </c>
      <c r="M23" s="44">
        <v>1</v>
      </c>
      <c r="N23" s="45" t="s">
        <v>73</v>
      </c>
      <c r="O23" s="33" t="s">
        <v>74</v>
      </c>
      <c r="P23" s="44" t="s">
        <v>75</v>
      </c>
      <c r="Q23" s="33" t="s">
        <v>358</v>
      </c>
      <c r="R23" s="34" t="s">
        <v>76</v>
      </c>
      <c r="S23" s="34" t="s">
        <v>229</v>
      </c>
      <c r="T23" s="34">
        <v>0.7</v>
      </c>
      <c r="U23" s="34">
        <v>0</v>
      </c>
      <c r="V23" s="357">
        <f t="shared" si="0"/>
        <v>0</v>
      </c>
      <c r="W23" s="88">
        <f>30%+T23</f>
        <v>1</v>
      </c>
      <c r="X23" s="88">
        <f>30%+U23</f>
        <v>0.3</v>
      </c>
      <c r="Y23" s="357">
        <f t="shared" si="1"/>
        <v>0.3</v>
      </c>
      <c r="Z23" s="253" t="s">
        <v>482</v>
      </c>
      <c r="AA23" s="254" t="s">
        <v>658</v>
      </c>
      <c r="AB23" s="11"/>
      <c r="AC23" s="11"/>
      <c r="AD23" s="12"/>
      <c r="AE23" s="76"/>
    </row>
    <row r="24" spans="2:33" ht="296.25" customHeight="1" x14ac:dyDescent="0.25">
      <c r="B24" s="540"/>
      <c r="C24" s="885" t="s">
        <v>18</v>
      </c>
      <c r="D24" s="888" t="s">
        <v>19</v>
      </c>
      <c r="E24" s="850">
        <v>3</v>
      </c>
      <c r="F24" s="853" t="s">
        <v>70</v>
      </c>
      <c r="G24" s="832">
        <v>302</v>
      </c>
      <c r="H24" s="835" t="s">
        <v>78</v>
      </c>
      <c r="I24" s="868">
        <v>0.1</v>
      </c>
      <c r="J24" s="841" t="s">
        <v>79</v>
      </c>
      <c r="K24" s="871" t="s">
        <v>80</v>
      </c>
      <c r="L24" s="873" t="s">
        <v>81</v>
      </c>
      <c r="M24" s="810">
        <v>0.5</v>
      </c>
      <c r="N24" s="810" t="s">
        <v>577</v>
      </c>
      <c r="O24" s="957" t="s">
        <v>83</v>
      </c>
      <c r="P24" s="810" t="s">
        <v>576</v>
      </c>
      <c r="Q24" s="965" t="s">
        <v>85</v>
      </c>
      <c r="R24" s="957" t="s">
        <v>359</v>
      </c>
      <c r="S24" s="957" t="s">
        <v>77</v>
      </c>
      <c r="T24" s="953">
        <v>0.3</v>
      </c>
      <c r="U24" s="953">
        <v>0.216</v>
      </c>
      <c r="V24" s="769">
        <f t="shared" si="0"/>
        <v>0.72</v>
      </c>
      <c r="W24" s="955">
        <f>70%+T24</f>
        <v>1</v>
      </c>
      <c r="X24" s="955">
        <f>69%+U24</f>
        <v>0.90599999999999992</v>
      </c>
      <c r="Y24" s="769">
        <f t="shared" si="1"/>
        <v>0.90599999999999992</v>
      </c>
      <c r="Z24" s="961" t="s">
        <v>597</v>
      </c>
      <c r="AA24" s="951" t="s">
        <v>659</v>
      </c>
      <c r="AB24" s="11"/>
      <c r="AC24" s="11"/>
      <c r="AD24" s="11"/>
      <c r="AE24" s="1"/>
    </row>
    <row r="25" spans="2:33" ht="292.5" customHeight="1" thickBot="1" x14ac:dyDescent="0.3">
      <c r="B25" s="540"/>
      <c r="C25" s="886"/>
      <c r="D25" s="889"/>
      <c r="E25" s="851"/>
      <c r="F25" s="854"/>
      <c r="G25" s="833"/>
      <c r="H25" s="836"/>
      <c r="I25" s="875"/>
      <c r="J25" s="842"/>
      <c r="K25" s="959"/>
      <c r="L25" s="960"/>
      <c r="M25" s="811"/>
      <c r="N25" s="812"/>
      <c r="O25" s="958"/>
      <c r="P25" s="812"/>
      <c r="Q25" s="966"/>
      <c r="R25" s="958"/>
      <c r="S25" s="958"/>
      <c r="T25" s="954"/>
      <c r="U25" s="954"/>
      <c r="V25" s="770"/>
      <c r="W25" s="956"/>
      <c r="X25" s="956"/>
      <c r="Y25" s="770"/>
      <c r="Z25" s="962"/>
      <c r="AA25" s="952"/>
      <c r="AB25" s="11"/>
      <c r="AC25" s="11"/>
      <c r="AD25" s="11"/>
      <c r="AE25" s="1"/>
    </row>
    <row r="26" spans="2:33" ht="303" customHeight="1" thickBot="1" x14ac:dyDescent="0.3">
      <c r="B26" s="540"/>
      <c r="C26" s="886"/>
      <c r="D26" s="889"/>
      <c r="E26" s="851"/>
      <c r="F26" s="854"/>
      <c r="G26" s="834"/>
      <c r="H26" s="837"/>
      <c r="I26" s="869"/>
      <c r="J26" s="843"/>
      <c r="K26" s="872"/>
      <c r="L26" s="874"/>
      <c r="M26" s="812"/>
      <c r="N26" s="45" t="s">
        <v>578</v>
      </c>
      <c r="O26" s="38" t="s">
        <v>88</v>
      </c>
      <c r="P26" s="45" t="s">
        <v>579</v>
      </c>
      <c r="Q26" s="38" t="s">
        <v>360</v>
      </c>
      <c r="R26" s="35" t="s">
        <v>86</v>
      </c>
      <c r="S26" s="35" t="s">
        <v>77</v>
      </c>
      <c r="T26" s="78">
        <v>0.6</v>
      </c>
      <c r="U26" s="35">
        <v>0</v>
      </c>
      <c r="V26" s="50">
        <f t="shared" si="0"/>
        <v>0</v>
      </c>
      <c r="W26" s="35">
        <f>40.2%+T26</f>
        <v>1.002</v>
      </c>
      <c r="X26" s="35">
        <f>+U26</f>
        <v>0</v>
      </c>
      <c r="Y26" s="50">
        <f t="shared" si="1"/>
        <v>0</v>
      </c>
      <c r="Z26" s="257" t="s">
        <v>614</v>
      </c>
      <c r="AA26" s="254" t="s">
        <v>617</v>
      </c>
      <c r="AB26" s="11"/>
      <c r="AC26" s="11"/>
      <c r="AD26" s="11"/>
      <c r="AE26" s="1"/>
    </row>
    <row r="27" spans="2:33" ht="170.25" customHeight="1" thickBot="1" x14ac:dyDescent="0.3">
      <c r="B27" s="540"/>
      <c r="C27" s="886"/>
      <c r="D27" s="889"/>
      <c r="E27" s="851"/>
      <c r="F27" s="854"/>
      <c r="G27" s="832">
        <v>303</v>
      </c>
      <c r="H27" s="835" t="s">
        <v>90</v>
      </c>
      <c r="I27" s="868">
        <v>0.3</v>
      </c>
      <c r="J27" s="841" t="s">
        <v>91</v>
      </c>
      <c r="K27" s="835" t="s">
        <v>289</v>
      </c>
      <c r="L27" s="844" t="s">
        <v>81</v>
      </c>
      <c r="M27" s="847">
        <v>1</v>
      </c>
      <c r="N27" s="810" t="s">
        <v>102</v>
      </c>
      <c r="O27" s="813" t="s">
        <v>93</v>
      </c>
      <c r="P27" s="44" t="s">
        <v>103</v>
      </c>
      <c r="Q27" s="33" t="s">
        <v>423</v>
      </c>
      <c r="R27" s="34" t="s">
        <v>95</v>
      </c>
      <c r="S27" s="34" t="s">
        <v>96</v>
      </c>
      <c r="T27" s="34">
        <v>0.7</v>
      </c>
      <c r="U27" s="79">
        <v>0.48259999999999997</v>
      </c>
      <c r="V27" s="50">
        <f t="shared" si="0"/>
        <v>0.68942857142857139</v>
      </c>
      <c r="W27" s="34">
        <v>0.7</v>
      </c>
      <c r="X27" s="79">
        <v>0.50170000000000003</v>
      </c>
      <c r="Y27" s="50">
        <f t="shared" si="1"/>
        <v>0.71671428571428586</v>
      </c>
      <c r="Z27" s="253" t="s">
        <v>660</v>
      </c>
      <c r="AA27" s="254" t="s">
        <v>661</v>
      </c>
      <c r="AB27" s="11"/>
      <c r="AC27" s="11"/>
      <c r="AD27" s="80" t="s">
        <v>299</v>
      </c>
      <c r="AE27" s="1"/>
    </row>
    <row r="28" spans="2:33" ht="164.25" customHeight="1" thickBot="1" x14ac:dyDescent="0.3">
      <c r="B28" s="540"/>
      <c r="C28" s="886"/>
      <c r="D28" s="889"/>
      <c r="E28" s="851"/>
      <c r="F28" s="854"/>
      <c r="G28" s="833"/>
      <c r="H28" s="836"/>
      <c r="I28" s="875"/>
      <c r="J28" s="842"/>
      <c r="K28" s="836"/>
      <c r="L28" s="845"/>
      <c r="M28" s="848"/>
      <c r="N28" s="812"/>
      <c r="O28" s="815"/>
      <c r="P28" s="44" t="s">
        <v>558</v>
      </c>
      <c r="Q28" s="33" t="s">
        <v>353</v>
      </c>
      <c r="R28" s="34" t="s">
        <v>95</v>
      </c>
      <c r="S28" s="34" t="s">
        <v>96</v>
      </c>
      <c r="T28" s="34">
        <v>1</v>
      </c>
      <c r="U28" s="34">
        <v>1</v>
      </c>
      <c r="V28" s="105">
        <f t="shared" si="0"/>
        <v>1</v>
      </c>
      <c r="W28" s="34">
        <v>1</v>
      </c>
      <c r="X28" s="79">
        <v>0.90780000000000005</v>
      </c>
      <c r="Y28" s="50">
        <f t="shared" si="1"/>
        <v>0.90780000000000005</v>
      </c>
      <c r="Z28" s="253" t="s">
        <v>630</v>
      </c>
      <c r="AA28" s="254" t="s">
        <v>662</v>
      </c>
      <c r="AB28" s="11"/>
      <c r="AC28" s="11"/>
      <c r="AD28" s="12"/>
      <c r="AE28" s="318">
        <v>36767</v>
      </c>
      <c r="AF28" s="6">
        <v>23141</v>
      </c>
      <c r="AG28" s="319">
        <f>+AF28/AE28</f>
        <v>0.62939592569423664</v>
      </c>
    </row>
    <row r="29" spans="2:33" ht="164.25" customHeight="1" thickBot="1" x14ac:dyDescent="0.3">
      <c r="B29" s="540"/>
      <c r="C29" s="886"/>
      <c r="D29" s="889"/>
      <c r="E29" s="851"/>
      <c r="F29" s="854"/>
      <c r="G29" s="833"/>
      <c r="H29" s="836"/>
      <c r="I29" s="875"/>
      <c r="J29" s="842"/>
      <c r="K29" s="836"/>
      <c r="L29" s="845"/>
      <c r="M29" s="848"/>
      <c r="N29" s="64" t="s">
        <v>146</v>
      </c>
      <c r="O29" s="33" t="s">
        <v>354</v>
      </c>
      <c r="P29" s="44" t="s">
        <v>148</v>
      </c>
      <c r="Q29" s="33" t="s">
        <v>100</v>
      </c>
      <c r="R29" s="34" t="s">
        <v>101</v>
      </c>
      <c r="S29" s="34" t="s">
        <v>42</v>
      </c>
      <c r="T29" s="36">
        <v>1</v>
      </c>
      <c r="U29" s="36">
        <v>1</v>
      </c>
      <c r="V29" s="50">
        <f t="shared" si="0"/>
        <v>1</v>
      </c>
      <c r="W29" s="36">
        <f>3+T29</f>
        <v>4</v>
      </c>
      <c r="X29" s="36">
        <f>1+U29</f>
        <v>2</v>
      </c>
      <c r="Y29" s="50">
        <f t="shared" si="1"/>
        <v>0.5</v>
      </c>
      <c r="Z29" s="248" t="s">
        <v>663</v>
      </c>
      <c r="AA29" s="254" t="s">
        <v>631</v>
      </c>
      <c r="AB29" s="11"/>
      <c r="AC29" s="11"/>
      <c r="AD29" s="12"/>
      <c r="AE29" s="1"/>
    </row>
    <row r="30" spans="2:33" ht="348.75" customHeight="1" thickBot="1" x14ac:dyDescent="0.3">
      <c r="B30" s="540"/>
      <c r="C30" s="886"/>
      <c r="D30" s="889"/>
      <c r="E30" s="851"/>
      <c r="F30" s="854"/>
      <c r="G30" s="833"/>
      <c r="H30" s="836"/>
      <c r="I30" s="875"/>
      <c r="J30" s="842"/>
      <c r="K30" s="836"/>
      <c r="L30" s="845"/>
      <c r="M30" s="848"/>
      <c r="N30" s="482" t="s">
        <v>125</v>
      </c>
      <c r="O30" s="483" t="s">
        <v>355</v>
      </c>
      <c r="P30" s="44" t="s">
        <v>127</v>
      </c>
      <c r="Q30" s="33" t="s">
        <v>104</v>
      </c>
      <c r="R30" s="34" t="s">
        <v>105</v>
      </c>
      <c r="S30" s="34" t="s">
        <v>42</v>
      </c>
      <c r="T30" s="36">
        <v>16</v>
      </c>
      <c r="U30" s="36">
        <v>21</v>
      </c>
      <c r="V30" s="50">
        <f t="shared" si="0"/>
        <v>1.3125</v>
      </c>
      <c r="W30" s="36">
        <f>32+T30</f>
        <v>48</v>
      </c>
      <c r="X30" s="36">
        <f>28+U30</f>
        <v>49</v>
      </c>
      <c r="Y30" s="50">
        <f t="shared" si="1"/>
        <v>1.0208333333333333</v>
      </c>
      <c r="Z30" s="248" t="s">
        <v>643</v>
      </c>
      <c r="AA30" s="315" t="s">
        <v>632</v>
      </c>
      <c r="AB30" s="11"/>
      <c r="AC30" s="11"/>
      <c r="AD30" s="12"/>
      <c r="AE30" s="1"/>
    </row>
    <row r="31" spans="2:33" ht="63" hidden="1" customHeight="1" thickBot="1" x14ac:dyDescent="0.3">
      <c r="B31" s="541"/>
      <c r="C31" s="475"/>
      <c r="D31" s="473"/>
      <c r="E31" s="496"/>
      <c r="F31" s="356"/>
      <c r="G31" s="834"/>
      <c r="H31" s="837"/>
      <c r="I31" s="869"/>
      <c r="J31" s="843"/>
      <c r="K31" s="837"/>
      <c r="L31" s="846"/>
      <c r="M31" s="849"/>
      <c r="N31" s="471" t="s">
        <v>326</v>
      </c>
      <c r="O31" s="419" t="s">
        <v>107</v>
      </c>
      <c r="P31" s="418" t="s">
        <v>327</v>
      </c>
      <c r="Q31" s="419" t="s">
        <v>109</v>
      </c>
      <c r="R31" s="420" t="s">
        <v>328</v>
      </c>
      <c r="S31" s="420" t="s">
        <v>42</v>
      </c>
      <c r="T31" s="421"/>
      <c r="U31" s="421"/>
      <c r="V31" s="497" t="e">
        <f>+U31/T31</f>
        <v>#DIV/0!</v>
      </c>
      <c r="W31" s="421">
        <v>5</v>
      </c>
      <c r="X31" s="421">
        <v>0</v>
      </c>
      <c r="Y31" s="497">
        <f t="shared" si="1"/>
        <v>0</v>
      </c>
      <c r="Z31" s="476" t="s">
        <v>472</v>
      </c>
      <c r="AA31" s="249" t="s">
        <v>293</v>
      </c>
      <c r="AB31" s="11"/>
      <c r="AC31" s="11"/>
      <c r="AD31" s="12"/>
      <c r="AE31" s="1"/>
    </row>
    <row r="32" spans="2:33" ht="203.25" customHeight="1" thickBot="1" x14ac:dyDescent="0.3">
      <c r="C32" s="885" t="s">
        <v>18</v>
      </c>
      <c r="D32" s="888" t="s">
        <v>19</v>
      </c>
      <c r="E32" s="850">
        <v>3</v>
      </c>
      <c r="F32" s="853" t="s">
        <v>70</v>
      </c>
      <c r="G32" s="832">
        <v>304</v>
      </c>
      <c r="H32" s="835" t="s">
        <v>110</v>
      </c>
      <c r="I32" s="838">
        <v>0.1</v>
      </c>
      <c r="J32" s="841" t="s">
        <v>111</v>
      </c>
      <c r="K32" s="835" t="s">
        <v>290</v>
      </c>
      <c r="L32" s="844" t="s">
        <v>81</v>
      </c>
      <c r="M32" s="847">
        <v>1</v>
      </c>
      <c r="N32" s="45" t="s">
        <v>112</v>
      </c>
      <c r="O32" s="33" t="s">
        <v>113</v>
      </c>
      <c r="P32" s="492" t="s">
        <v>114</v>
      </c>
      <c r="Q32" s="483" t="s">
        <v>115</v>
      </c>
      <c r="R32" s="493" t="s">
        <v>116</v>
      </c>
      <c r="S32" s="493" t="s">
        <v>42</v>
      </c>
      <c r="T32" s="494">
        <v>1</v>
      </c>
      <c r="U32" s="494">
        <v>1</v>
      </c>
      <c r="V32" s="354">
        <f t="shared" si="0"/>
        <v>1</v>
      </c>
      <c r="W32" s="494">
        <f>+T32</f>
        <v>1</v>
      </c>
      <c r="X32" s="494">
        <f>+U32</f>
        <v>1</v>
      </c>
      <c r="Y32" s="354">
        <f t="shared" si="1"/>
        <v>1</v>
      </c>
      <c r="Z32" s="484" t="s">
        <v>622</v>
      </c>
      <c r="AA32" s="495" t="s">
        <v>644</v>
      </c>
      <c r="AB32" s="11"/>
      <c r="AC32" s="11"/>
      <c r="AD32" s="12"/>
      <c r="AE32" s="1"/>
    </row>
    <row r="33" spans="3:33" ht="155.25" customHeight="1" thickBot="1" x14ac:dyDescent="0.3">
      <c r="C33" s="886"/>
      <c r="D33" s="889"/>
      <c r="E33" s="851"/>
      <c r="F33" s="854"/>
      <c r="G33" s="833"/>
      <c r="H33" s="836"/>
      <c r="I33" s="839"/>
      <c r="J33" s="842"/>
      <c r="K33" s="836"/>
      <c r="L33" s="845"/>
      <c r="M33" s="848"/>
      <c r="N33" s="810" t="s">
        <v>117</v>
      </c>
      <c r="O33" s="813" t="s">
        <v>118</v>
      </c>
      <c r="P33" s="44" t="s">
        <v>119</v>
      </c>
      <c r="Q33" s="33" t="s">
        <v>347</v>
      </c>
      <c r="R33" s="34" t="s">
        <v>348</v>
      </c>
      <c r="S33" s="34" t="s">
        <v>42</v>
      </c>
      <c r="T33" s="36">
        <v>0</v>
      </c>
      <c r="U33" s="36">
        <v>1</v>
      </c>
      <c r="V33" s="50">
        <v>1</v>
      </c>
      <c r="W33" s="36">
        <v>1</v>
      </c>
      <c r="X33" s="36">
        <f>+U33</f>
        <v>1</v>
      </c>
      <c r="Y33" s="50">
        <f t="shared" si="1"/>
        <v>1</v>
      </c>
      <c r="Z33" s="248" t="s">
        <v>664</v>
      </c>
      <c r="AA33" s="254" t="s">
        <v>623</v>
      </c>
      <c r="AB33" s="11"/>
      <c r="AC33" s="11"/>
      <c r="AD33" s="12"/>
      <c r="AE33" s="1"/>
    </row>
    <row r="34" spans="3:33" ht="249" customHeight="1" thickBot="1" x14ac:dyDescent="0.3">
      <c r="C34" s="886"/>
      <c r="D34" s="889"/>
      <c r="E34" s="851"/>
      <c r="F34" s="854"/>
      <c r="G34" s="834"/>
      <c r="H34" s="837"/>
      <c r="I34" s="840"/>
      <c r="J34" s="843"/>
      <c r="K34" s="837"/>
      <c r="L34" s="846"/>
      <c r="M34" s="849"/>
      <c r="N34" s="812"/>
      <c r="O34" s="815"/>
      <c r="P34" s="44" t="s">
        <v>120</v>
      </c>
      <c r="Q34" s="33" t="s">
        <v>121</v>
      </c>
      <c r="R34" s="34" t="s">
        <v>349</v>
      </c>
      <c r="S34" s="34" t="s">
        <v>42</v>
      </c>
      <c r="T34" s="36">
        <v>0</v>
      </c>
      <c r="U34" s="36">
        <v>1</v>
      </c>
      <c r="V34" s="357">
        <v>1</v>
      </c>
      <c r="W34" s="36">
        <v>2</v>
      </c>
      <c r="X34" s="36">
        <f>5+U34</f>
        <v>6</v>
      </c>
      <c r="Y34" s="357">
        <f t="shared" si="1"/>
        <v>3</v>
      </c>
      <c r="Z34" s="248" t="s">
        <v>655</v>
      </c>
      <c r="AA34" s="463" t="s">
        <v>645</v>
      </c>
      <c r="AB34" s="11"/>
      <c r="AC34" s="11"/>
      <c r="AD34" s="12"/>
      <c r="AE34" s="1"/>
    </row>
    <row r="35" spans="3:33" ht="121.5" customHeight="1" thickBot="1" x14ac:dyDescent="0.3">
      <c r="C35" s="886"/>
      <c r="D35" s="889"/>
      <c r="E35" s="851"/>
      <c r="F35" s="854"/>
      <c r="G35" s="833">
        <v>305</v>
      </c>
      <c r="H35" s="836" t="s">
        <v>122</v>
      </c>
      <c r="I35" s="839">
        <v>0.1</v>
      </c>
      <c r="J35" s="481" t="s">
        <v>123</v>
      </c>
      <c r="K35" s="486" t="s">
        <v>124</v>
      </c>
      <c r="L35" s="489" t="s">
        <v>81</v>
      </c>
      <c r="M35" s="491">
        <v>0.3</v>
      </c>
      <c r="N35" s="811" t="s">
        <v>261</v>
      </c>
      <c r="O35" s="814" t="s">
        <v>126</v>
      </c>
      <c r="P35" s="452" t="s">
        <v>263</v>
      </c>
      <c r="Q35" s="453" t="s">
        <v>356</v>
      </c>
      <c r="R35" s="454" t="s">
        <v>128</v>
      </c>
      <c r="S35" s="454" t="s">
        <v>42</v>
      </c>
      <c r="T35" s="456">
        <v>4</v>
      </c>
      <c r="U35" s="456">
        <v>0</v>
      </c>
      <c r="V35" s="354">
        <v>1</v>
      </c>
      <c r="W35" s="456">
        <f>4+T35</f>
        <v>8</v>
      </c>
      <c r="X35" s="456">
        <f>3+U35</f>
        <v>3</v>
      </c>
      <c r="Y35" s="354">
        <f t="shared" si="1"/>
        <v>0.375</v>
      </c>
      <c r="Z35" s="464" t="s">
        <v>633</v>
      </c>
      <c r="AA35" s="467" t="s">
        <v>292</v>
      </c>
      <c r="AB35" s="11"/>
      <c r="AC35" s="11"/>
      <c r="AD35" s="12"/>
      <c r="AE35" s="1"/>
    </row>
    <row r="36" spans="3:33" ht="228.75" customHeight="1" thickBot="1" x14ac:dyDescent="0.3">
      <c r="C36" s="886"/>
      <c r="D36" s="889"/>
      <c r="E36" s="851"/>
      <c r="F36" s="854"/>
      <c r="G36" s="833"/>
      <c r="H36" s="836"/>
      <c r="I36" s="839"/>
      <c r="J36" s="479" t="s">
        <v>129</v>
      </c>
      <c r="K36" s="485" t="s">
        <v>130</v>
      </c>
      <c r="L36" s="488" t="s">
        <v>81</v>
      </c>
      <c r="M36" s="490">
        <v>0.2</v>
      </c>
      <c r="N36" s="811"/>
      <c r="O36" s="814"/>
      <c r="P36" s="44" t="s">
        <v>559</v>
      </c>
      <c r="Q36" s="33" t="s">
        <v>132</v>
      </c>
      <c r="R36" s="34" t="s">
        <v>133</v>
      </c>
      <c r="S36" s="34" t="s">
        <v>42</v>
      </c>
      <c r="T36" s="36">
        <v>12</v>
      </c>
      <c r="U36" s="36">
        <v>4</v>
      </c>
      <c r="V36" s="50">
        <f t="shared" si="0"/>
        <v>0.33333333333333331</v>
      </c>
      <c r="W36" s="36">
        <f>21+T36</f>
        <v>33</v>
      </c>
      <c r="X36" s="36">
        <f>9+U36</f>
        <v>13</v>
      </c>
      <c r="Y36" s="50">
        <f t="shared" si="1"/>
        <v>0.39393939393939392</v>
      </c>
      <c r="Z36" s="248" t="s">
        <v>634</v>
      </c>
      <c r="AA36" s="249" t="s">
        <v>292</v>
      </c>
      <c r="AB36" s="11"/>
      <c r="AC36" s="11"/>
      <c r="AD36" s="12"/>
      <c r="AE36" s="1"/>
    </row>
    <row r="37" spans="3:33" ht="133.5" customHeight="1" x14ac:dyDescent="0.25">
      <c r="C37" s="886"/>
      <c r="D37" s="889"/>
      <c r="E37" s="851"/>
      <c r="F37" s="854"/>
      <c r="G37" s="833"/>
      <c r="H37" s="836"/>
      <c r="I37" s="839"/>
      <c r="J37" s="841" t="s">
        <v>134</v>
      </c>
      <c r="K37" s="934" t="s">
        <v>135</v>
      </c>
      <c r="L37" s="844" t="s">
        <v>81</v>
      </c>
      <c r="M37" s="847">
        <v>0.2</v>
      </c>
      <c r="N37" s="811"/>
      <c r="O37" s="814"/>
      <c r="P37" s="847" t="s">
        <v>560</v>
      </c>
      <c r="Q37" s="858" t="s">
        <v>137</v>
      </c>
      <c r="R37" s="858" t="s">
        <v>137</v>
      </c>
      <c r="S37" s="858" t="s">
        <v>42</v>
      </c>
      <c r="T37" s="865">
        <v>118</v>
      </c>
      <c r="U37" s="865">
        <v>20</v>
      </c>
      <c r="V37" s="769">
        <f>+U37/T37</f>
        <v>0.16949152542372881</v>
      </c>
      <c r="W37" s="865">
        <f>182+T37</f>
        <v>300</v>
      </c>
      <c r="X37" s="865">
        <f>48+U37</f>
        <v>68</v>
      </c>
      <c r="Y37" s="769">
        <f t="shared" si="1"/>
        <v>0.22666666666666666</v>
      </c>
      <c r="Z37" s="458" t="s">
        <v>635</v>
      </c>
      <c r="AA37" s="462" t="s">
        <v>646</v>
      </c>
      <c r="AB37" s="11"/>
      <c r="AC37" s="11"/>
      <c r="AD37" s="12"/>
      <c r="AE37" s="1"/>
    </row>
    <row r="38" spans="3:33" ht="15" customHeight="1" thickBot="1" x14ac:dyDescent="0.3">
      <c r="C38" s="886"/>
      <c r="D38" s="889"/>
      <c r="E38" s="851"/>
      <c r="F38" s="854"/>
      <c r="G38" s="833"/>
      <c r="H38" s="836"/>
      <c r="I38" s="839"/>
      <c r="J38" s="843"/>
      <c r="K38" s="935"/>
      <c r="L38" s="846"/>
      <c r="M38" s="849"/>
      <c r="N38" s="812"/>
      <c r="O38" s="815"/>
      <c r="P38" s="849"/>
      <c r="Q38" s="860"/>
      <c r="R38" s="860"/>
      <c r="S38" s="860"/>
      <c r="T38" s="867"/>
      <c r="U38" s="867"/>
      <c r="V38" s="770"/>
      <c r="W38" s="867"/>
      <c r="X38" s="867"/>
      <c r="Y38" s="770"/>
      <c r="Z38" s="459"/>
      <c r="AA38" s="320"/>
      <c r="AB38" s="11"/>
      <c r="AC38" s="11"/>
      <c r="AD38" s="12"/>
      <c r="AE38" s="1"/>
    </row>
    <row r="39" spans="3:33" ht="310.5" customHeight="1" thickBot="1" x14ac:dyDescent="0.3">
      <c r="C39" s="886"/>
      <c r="D39" s="889"/>
      <c r="E39" s="851"/>
      <c r="F39" s="854"/>
      <c r="G39" s="834"/>
      <c r="H39" s="837"/>
      <c r="I39" s="840"/>
      <c r="J39" s="14" t="s">
        <v>138</v>
      </c>
      <c r="K39" s="485" t="s">
        <v>139</v>
      </c>
      <c r="L39" s="72" t="s">
        <v>81</v>
      </c>
      <c r="M39" s="490">
        <v>0.3</v>
      </c>
      <c r="N39" s="482" t="s">
        <v>198</v>
      </c>
      <c r="O39" s="483" t="s">
        <v>141</v>
      </c>
      <c r="P39" s="451" t="s">
        <v>200</v>
      </c>
      <c r="Q39" s="33" t="s">
        <v>357</v>
      </c>
      <c r="R39" s="34" t="s">
        <v>143</v>
      </c>
      <c r="S39" s="34" t="s">
        <v>42</v>
      </c>
      <c r="T39" s="36">
        <v>1</v>
      </c>
      <c r="U39" s="36">
        <v>2</v>
      </c>
      <c r="V39" s="50">
        <f t="shared" si="0"/>
        <v>2</v>
      </c>
      <c r="W39" s="36">
        <f>1+T39</f>
        <v>2</v>
      </c>
      <c r="X39" s="36">
        <f>+U39</f>
        <v>2</v>
      </c>
      <c r="Y39" s="50">
        <f t="shared" si="1"/>
        <v>1</v>
      </c>
      <c r="Z39" s="248" t="s">
        <v>647</v>
      </c>
      <c r="AA39" s="254" t="s">
        <v>636</v>
      </c>
      <c r="AB39" s="11"/>
      <c r="AC39" s="11"/>
      <c r="AD39" s="12"/>
      <c r="AE39" s="1"/>
    </row>
    <row r="40" spans="3:33" ht="62.25" customHeight="1" thickBot="1" x14ac:dyDescent="0.3">
      <c r="C40" s="886"/>
      <c r="D40" s="889"/>
      <c r="E40" s="851"/>
      <c r="F40" s="854"/>
      <c r="G40" s="832">
        <v>306</v>
      </c>
      <c r="H40" s="835" t="s">
        <v>284</v>
      </c>
      <c r="I40" s="838">
        <v>0.05</v>
      </c>
      <c r="J40" s="479" t="s">
        <v>144</v>
      </c>
      <c r="K40" s="485" t="s">
        <v>145</v>
      </c>
      <c r="L40" s="72" t="s">
        <v>81</v>
      </c>
      <c r="M40" s="490">
        <v>0.35</v>
      </c>
      <c r="N40" s="810" t="s">
        <v>140</v>
      </c>
      <c r="O40" s="813" t="s">
        <v>147</v>
      </c>
      <c r="P40" s="847" t="s">
        <v>142</v>
      </c>
      <c r="Q40" s="813" t="s">
        <v>149</v>
      </c>
      <c r="R40" s="858" t="s">
        <v>150</v>
      </c>
      <c r="S40" s="858" t="s">
        <v>42</v>
      </c>
      <c r="T40" s="865">
        <v>0</v>
      </c>
      <c r="U40" s="865">
        <v>0</v>
      </c>
      <c r="V40" s="769" t="e">
        <f t="shared" si="0"/>
        <v>#DIV/0!</v>
      </c>
      <c r="W40" s="865">
        <v>2</v>
      </c>
      <c r="X40" s="865">
        <f>+U40</f>
        <v>0</v>
      </c>
      <c r="Y40" s="769">
        <f t="shared" si="1"/>
        <v>0</v>
      </c>
      <c r="Z40" s="830" t="s">
        <v>648</v>
      </c>
      <c r="AA40" s="928" t="s">
        <v>523</v>
      </c>
      <c r="AB40" s="11"/>
      <c r="AC40" s="11"/>
      <c r="AD40" s="12"/>
      <c r="AE40" s="1"/>
    </row>
    <row r="41" spans="3:33" ht="64.5" customHeight="1" thickBot="1" x14ac:dyDescent="0.3">
      <c r="C41" s="886"/>
      <c r="D41" s="889"/>
      <c r="E41" s="851"/>
      <c r="F41" s="854"/>
      <c r="G41" s="833"/>
      <c r="H41" s="836"/>
      <c r="I41" s="839"/>
      <c r="J41" s="14" t="s">
        <v>151</v>
      </c>
      <c r="K41" s="47" t="s">
        <v>152</v>
      </c>
      <c r="L41" s="72" t="s">
        <v>81</v>
      </c>
      <c r="M41" s="44">
        <v>0.35</v>
      </c>
      <c r="N41" s="811"/>
      <c r="O41" s="814"/>
      <c r="P41" s="848"/>
      <c r="Q41" s="814"/>
      <c r="R41" s="859"/>
      <c r="S41" s="859"/>
      <c r="T41" s="866"/>
      <c r="U41" s="866"/>
      <c r="V41" s="779"/>
      <c r="W41" s="866"/>
      <c r="X41" s="866"/>
      <c r="Y41" s="779"/>
      <c r="Z41" s="933"/>
      <c r="AA41" s="928"/>
      <c r="AB41" s="11"/>
      <c r="AC41" s="11"/>
      <c r="AD41" s="12"/>
      <c r="AE41" s="1"/>
    </row>
    <row r="42" spans="3:33" ht="98.25" customHeight="1" thickBot="1" x14ac:dyDescent="0.3">
      <c r="C42" s="886"/>
      <c r="D42" s="889"/>
      <c r="E42" s="851"/>
      <c r="F42" s="854"/>
      <c r="G42" s="834"/>
      <c r="H42" s="837"/>
      <c r="I42" s="840"/>
      <c r="J42" s="480" t="s">
        <v>153</v>
      </c>
      <c r="K42" s="487" t="s">
        <v>154</v>
      </c>
      <c r="L42" s="489" t="s">
        <v>81</v>
      </c>
      <c r="M42" s="492">
        <v>0.3</v>
      </c>
      <c r="N42" s="812"/>
      <c r="O42" s="815"/>
      <c r="P42" s="849"/>
      <c r="Q42" s="815"/>
      <c r="R42" s="860"/>
      <c r="S42" s="860"/>
      <c r="T42" s="867"/>
      <c r="U42" s="867"/>
      <c r="V42" s="770"/>
      <c r="W42" s="867"/>
      <c r="X42" s="867"/>
      <c r="Y42" s="770"/>
      <c r="Z42" s="831"/>
      <c r="AA42" s="929"/>
      <c r="AB42" s="11"/>
      <c r="AC42" s="11"/>
      <c r="AD42" s="12"/>
      <c r="AE42" s="1"/>
    </row>
    <row r="43" spans="3:33" ht="288.75" customHeight="1" thickBot="1" x14ac:dyDescent="0.3">
      <c r="C43" s="887"/>
      <c r="D43" s="890"/>
      <c r="E43" s="852"/>
      <c r="F43" s="855"/>
      <c r="G43" s="498">
        <v>307</v>
      </c>
      <c r="H43" s="47" t="s">
        <v>285</v>
      </c>
      <c r="I43" s="499">
        <v>0.1</v>
      </c>
      <c r="J43" s="102" t="s">
        <v>155</v>
      </c>
      <c r="K43" s="103" t="s">
        <v>156</v>
      </c>
      <c r="L43" s="104" t="s">
        <v>81</v>
      </c>
      <c r="M43" s="101">
        <v>0.5</v>
      </c>
      <c r="N43" s="45" t="s">
        <v>92</v>
      </c>
      <c r="O43" s="33" t="s">
        <v>346</v>
      </c>
      <c r="P43" s="45" t="s">
        <v>94</v>
      </c>
      <c r="Q43" s="33" t="s">
        <v>162</v>
      </c>
      <c r="R43" s="34" t="s">
        <v>163</v>
      </c>
      <c r="S43" s="34" t="s">
        <v>164</v>
      </c>
      <c r="T43" s="90">
        <v>0.29399999999999998</v>
      </c>
      <c r="U43" s="39">
        <v>0.2</v>
      </c>
      <c r="V43" s="500">
        <f t="shared" si="0"/>
        <v>0.6802721088435375</v>
      </c>
      <c r="W43" s="89">
        <f>70.6%+T43</f>
        <v>1</v>
      </c>
      <c r="X43" s="90">
        <f>74.6%+U43</f>
        <v>0.94599999999999995</v>
      </c>
      <c r="Y43" s="357">
        <f t="shared" si="1"/>
        <v>0.94599999999999995</v>
      </c>
      <c r="Z43" s="248" t="s">
        <v>627</v>
      </c>
      <c r="AA43" s="254"/>
      <c r="AB43" s="11"/>
      <c r="AC43" s="11"/>
      <c r="AD43" s="12"/>
      <c r="AE43" s="1"/>
    </row>
    <row r="44" spans="3:33" ht="114.75" customHeight="1" thickBot="1" x14ac:dyDescent="0.3">
      <c r="C44" s="885" t="s">
        <v>18</v>
      </c>
      <c r="D44" s="888" t="s">
        <v>19</v>
      </c>
      <c r="E44" s="850">
        <v>3</v>
      </c>
      <c r="F44" s="853" t="s">
        <v>70</v>
      </c>
      <c r="G44" s="832">
        <v>307</v>
      </c>
      <c r="H44" s="835" t="s">
        <v>542</v>
      </c>
      <c r="I44" s="501"/>
      <c r="J44" s="841" t="s">
        <v>165</v>
      </c>
      <c r="K44" s="835" t="s">
        <v>291</v>
      </c>
      <c r="L44" s="844" t="s">
        <v>81</v>
      </c>
      <c r="M44" s="847">
        <v>0.5</v>
      </c>
      <c r="N44" s="45" t="s">
        <v>55</v>
      </c>
      <c r="O44" s="33" t="s">
        <v>344</v>
      </c>
      <c r="P44" s="44" t="s">
        <v>57</v>
      </c>
      <c r="Q44" s="33" t="s">
        <v>345</v>
      </c>
      <c r="R44" s="34" t="s">
        <v>159</v>
      </c>
      <c r="S44" s="34" t="s">
        <v>42</v>
      </c>
      <c r="T44" s="36">
        <v>1</v>
      </c>
      <c r="U44" s="36">
        <v>0</v>
      </c>
      <c r="V44" s="50">
        <f>+U44/T44</f>
        <v>0</v>
      </c>
      <c r="W44" s="40">
        <f>+T44</f>
        <v>1</v>
      </c>
      <c r="X44" s="40">
        <v>1</v>
      </c>
      <c r="Y44" s="50">
        <v>1</v>
      </c>
      <c r="Z44" s="253" t="s">
        <v>649</v>
      </c>
      <c r="AA44" s="249" t="s">
        <v>294</v>
      </c>
      <c r="AB44" s="11"/>
      <c r="AC44" s="11"/>
      <c r="AD44" s="12"/>
      <c r="AE44" s="1"/>
    </row>
    <row r="45" spans="3:33" ht="219" customHeight="1" thickBot="1" x14ac:dyDescent="0.3">
      <c r="C45" s="886"/>
      <c r="D45" s="889"/>
      <c r="E45" s="851"/>
      <c r="F45" s="854"/>
      <c r="G45" s="833"/>
      <c r="H45" s="836"/>
      <c r="I45" s="358"/>
      <c r="J45" s="842"/>
      <c r="K45" s="836"/>
      <c r="L45" s="845"/>
      <c r="M45" s="848"/>
      <c r="N45" s="810" t="s">
        <v>166</v>
      </c>
      <c r="O45" s="813" t="s">
        <v>167</v>
      </c>
      <c r="P45" s="44" t="s">
        <v>168</v>
      </c>
      <c r="Q45" s="33" t="s">
        <v>350</v>
      </c>
      <c r="R45" s="34" t="s">
        <v>169</v>
      </c>
      <c r="S45" s="34" t="s">
        <v>42</v>
      </c>
      <c r="T45" s="36">
        <v>0</v>
      </c>
      <c r="U45" s="36">
        <v>2</v>
      </c>
      <c r="V45" s="50">
        <v>1</v>
      </c>
      <c r="W45" s="36">
        <v>1</v>
      </c>
      <c r="X45" s="36">
        <f>+U45</f>
        <v>2</v>
      </c>
      <c r="Y45" s="50">
        <f t="shared" si="1"/>
        <v>2</v>
      </c>
      <c r="Z45" s="248" t="s">
        <v>625</v>
      </c>
      <c r="AA45" s="468" t="s">
        <v>294</v>
      </c>
      <c r="AB45" s="11"/>
      <c r="AC45" s="11"/>
      <c r="AD45" s="12"/>
      <c r="AE45" s="1"/>
    </row>
    <row r="46" spans="3:33" ht="188.25" customHeight="1" thickBot="1" x14ac:dyDescent="0.3">
      <c r="C46" s="886"/>
      <c r="D46" s="889"/>
      <c r="E46" s="851"/>
      <c r="F46" s="854"/>
      <c r="G46" s="834"/>
      <c r="H46" s="837"/>
      <c r="I46" s="359"/>
      <c r="J46" s="843"/>
      <c r="K46" s="837"/>
      <c r="L46" s="846"/>
      <c r="M46" s="849"/>
      <c r="N46" s="812"/>
      <c r="O46" s="815"/>
      <c r="P46" s="44" t="s">
        <v>170</v>
      </c>
      <c r="Q46" s="33" t="s">
        <v>171</v>
      </c>
      <c r="R46" s="34" t="s">
        <v>169</v>
      </c>
      <c r="S46" s="34" t="s">
        <v>42</v>
      </c>
      <c r="T46" s="36">
        <v>0</v>
      </c>
      <c r="U46" s="36">
        <v>2</v>
      </c>
      <c r="V46" s="50">
        <v>1</v>
      </c>
      <c r="W46" s="36">
        <v>1</v>
      </c>
      <c r="X46" s="36">
        <f>1+U46</f>
        <v>3</v>
      </c>
      <c r="Y46" s="50">
        <f t="shared" si="1"/>
        <v>3</v>
      </c>
      <c r="Z46" s="459" t="s">
        <v>666</v>
      </c>
      <c r="AA46" s="468" t="s">
        <v>292</v>
      </c>
      <c r="AB46" s="11"/>
      <c r="AC46" s="11"/>
      <c r="AD46" s="12"/>
      <c r="AE46" s="1"/>
    </row>
    <row r="47" spans="3:33" ht="208.5" customHeight="1" thickBot="1" x14ac:dyDescent="0.3">
      <c r="C47" s="886"/>
      <c r="D47" s="889"/>
      <c r="E47" s="851"/>
      <c r="F47" s="854"/>
      <c r="G47" s="832">
        <v>308</v>
      </c>
      <c r="H47" s="835" t="s">
        <v>172</v>
      </c>
      <c r="I47" s="838">
        <v>0.1</v>
      </c>
      <c r="J47" s="443" t="s">
        <v>173</v>
      </c>
      <c r="K47" s="446" t="s">
        <v>174</v>
      </c>
      <c r="L47" s="448" t="s">
        <v>81</v>
      </c>
      <c r="M47" s="450">
        <v>0.5</v>
      </c>
      <c r="N47" s="810" t="s">
        <v>582</v>
      </c>
      <c r="O47" s="813" t="s">
        <v>312</v>
      </c>
      <c r="P47" s="44" t="s">
        <v>567</v>
      </c>
      <c r="Q47" s="33" t="s">
        <v>316</v>
      </c>
      <c r="R47" s="34" t="s">
        <v>314</v>
      </c>
      <c r="S47" s="34" t="s">
        <v>164</v>
      </c>
      <c r="T47" s="88">
        <v>0</v>
      </c>
      <c r="U47" s="88">
        <v>0.6</v>
      </c>
      <c r="V47" s="50" t="e">
        <f t="shared" si="0"/>
        <v>#DIV/0!</v>
      </c>
      <c r="W47" s="90">
        <v>1</v>
      </c>
      <c r="X47" s="90">
        <f>14%+U47</f>
        <v>0.74</v>
      </c>
      <c r="Y47" s="50">
        <f t="shared" si="1"/>
        <v>0.74</v>
      </c>
      <c r="Z47" s="253" t="s">
        <v>601</v>
      </c>
      <c r="AA47" s="254" t="s">
        <v>602</v>
      </c>
      <c r="AB47" s="11"/>
      <c r="AC47" s="11"/>
      <c r="AD47" s="13"/>
      <c r="AE47" s="1"/>
      <c r="AF47" s="77"/>
      <c r="AG47" s="77"/>
    </row>
    <row r="48" spans="3:33" ht="138" customHeight="1" thickBot="1" x14ac:dyDescent="0.3">
      <c r="C48" s="886"/>
      <c r="D48" s="889"/>
      <c r="E48" s="851"/>
      <c r="F48" s="854"/>
      <c r="G48" s="833"/>
      <c r="H48" s="836"/>
      <c r="I48" s="839"/>
      <c r="J48" s="841" t="s">
        <v>177</v>
      </c>
      <c r="K48" s="835" t="s">
        <v>178</v>
      </c>
      <c r="L48" s="844" t="s">
        <v>81</v>
      </c>
      <c r="M48" s="847">
        <v>0.5</v>
      </c>
      <c r="N48" s="811"/>
      <c r="O48" s="814"/>
      <c r="P48" s="44" t="s">
        <v>566</v>
      </c>
      <c r="Q48" s="33" t="s">
        <v>313</v>
      </c>
      <c r="R48" s="34" t="s">
        <v>314</v>
      </c>
      <c r="S48" s="34" t="s">
        <v>164</v>
      </c>
      <c r="T48" s="89">
        <v>0</v>
      </c>
      <c r="U48" s="89">
        <v>0</v>
      </c>
      <c r="V48" s="50" t="e">
        <f t="shared" si="0"/>
        <v>#DIV/0!</v>
      </c>
      <c r="W48" s="39">
        <v>1</v>
      </c>
      <c r="X48" s="39">
        <v>1</v>
      </c>
      <c r="Y48" s="50">
        <f t="shared" si="1"/>
        <v>1</v>
      </c>
      <c r="Z48" s="248" t="s">
        <v>469</v>
      </c>
      <c r="AA48" s="249" t="s">
        <v>292</v>
      </c>
      <c r="AB48" s="11"/>
      <c r="AC48" s="11"/>
      <c r="AD48" s="13"/>
      <c r="AE48" s="1"/>
    </row>
    <row r="49" spans="3:31" ht="141.75" customHeight="1" thickBot="1" x14ac:dyDescent="0.3">
      <c r="C49" s="886"/>
      <c r="D49" s="889"/>
      <c r="E49" s="851"/>
      <c r="F49" s="854"/>
      <c r="G49" s="833"/>
      <c r="H49" s="836"/>
      <c r="I49" s="839"/>
      <c r="J49" s="842"/>
      <c r="K49" s="836"/>
      <c r="L49" s="845"/>
      <c r="M49" s="848"/>
      <c r="N49" s="811"/>
      <c r="O49" s="814"/>
      <c r="P49" s="44" t="s">
        <v>565</v>
      </c>
      <c r="Q49" s="33" t="s">
        <v>315</v>
      </c>
      <c r="R49" s="34" t="s">
        <v>314</v>
      </c>
      <c r="S49" s="34" t="s">
        <v>164</v>
      </c>
      <c r="T49" s="34">
        <v>0</v>
      </c>
      <c r="U49" s="88">
        <v>0</v>
      </c>
      <c r="V49" s="50" t="e">
        <f t="shared" si="0"/>
        <v>#DIV/0!</v>
      </c>
      <c r="W49" s="34">
        <v>1</v>
      </c>
      <c r="X49" s="34">
        <v>1</v>
      </c>
      <c r="Y49" s="50">
        <f t="shared" si="1"/>
        <v>1</v>
      </c>
      <c r="Z49" s="459" t="s">
        <v>469</v>
      </c>
      <c r="AA49" s="468" t="s">
        <v>292</v>
      </c>
      <c r="AB49" s="11"/>
      <c r="AC49" s="11"/>
      <c r="AD49" s="12"/>
      <c r="AE49" s="1"/>
    </row>
    <row r="50" spans="3:31" ht="155.25" customHeight="1" thickBot="1" x14ac:dyDescent="0.3">
      <c r="C50" s="886"/>
      <c r="D50" s="889"/>
      <c r="E50" s="851"/>
      <c r="F50" s="854"/>
      <c r="G50" s="833"/>
      <c r="H50" s="836"/>
      <c r="I50" s="839"/>
      <c r="J50" s="842"/>
      <c r="K50" s="836"/>
      <c r="L50" s="845"/>
      <c r="M50" s="848"/>
      <c r="N50" s="811"/>
      <c r="O50" s="814"/>
      <c r="P50" s="44" t="s">
        <v>568</v>
      </c>
      <c r="Q50" s="453" t="s">
        <v>181</v>
      </c>
      <c r="R50" s="454" t="s">
        <v>317</v>
      </c>
      <c r="S50" s="454" t="s">
        <v>182</v>
      </c>
      <c r="T50" s="454">
        <v>1</v>
      </c>
      <c r="U50" s="454">
        <v>1</v>
      </c>
      <c r="V50" s="50">
        <f>+U50/T50</f>
        <v>1</v>
      </c>
      <c r="W50" s="454">
        <v>1</v>
      </c>
      <c r="X50" s="454">
        <v>1</v>
      </c>
      <c r="Y50" s="50">
        <f>+X50/W50</f>
        <v>1</v>
      </c>
      <c r="Z50" s="460" t="s">
        <v>381</v>
      </c>
      <c r="AA50" s="468" t="s">
        <v>366</v>
      </c>
      <c r="AB50" s="11"/>
      <c r="AC50" s="11"/>
      <c r="AD50" s="12"/>
      <c r="AE50" s="1"/>
    </row>
    <row r="51" spans="3:31" ht="155.25" customHeight="1" thickBot="1" x14ac:dyDescent="0.3">
      <c r="C51" s="886"/>
      <c r="D51" s="889"/>
      <c r="E51" s="851"/>
      <c r="F51" s="854"/>
      <c r="G51" s="833"/>
      <c r="H51" s="836"/>
      <c r="I51" s="839"/>
      <c r="J51" s="842"/>
      <c r="K51" s="836"/>
      <c r="L51" s="845"/>
      <c r="M51" s="848"/>
      <c r="N51" s="812"/>
      <c r="O51" s="815"/>
      <c r="P51" s="451" t="s">
        <v>569</v>
      </c>
      <c r="Q51" s="453" t="s">
        <v>184</v>
      </c>
      <c r="R51" s="454" t="s">
        <v>319</v>
      </c>
      <c r="S51" s="454" t="s">
        <v>182</v>
      </c>
      <c r="T51" s="454">
        <v>1</v>
      </c>
      <c r="U51" s="454">
        <v>1</v>
      </c>
      <c r="V51" s="50">
        <f>+U51/T51</f>
        <v>1</v>
      </c>
      <c r="W51" s="454">
        <v>1</v>
      </c>
      <c r="X51" s="454">
        <v>1</v>
      </c>
      <c r="Y51" s="50">
        <f>+X51/W51</f>
        <v>1</v>
      </c>
      <c r="Z51" s="460" t="s">
        <v>470</v>
      </c>
      <c r="AA51" s="468" t="s">
        <v>292</v>
      </c>
      <c r="AB51" s="11"/>
      <c r="AC51" s="11"/>
      <c r="AD51" s="12"/>
      <c r="AE51" s="1"/>
    </row>
    <row r="52" spans="3:31" ht="144" customHeight="1" thickBot="1" x14ac:dyDescent="0.3">
      <c r="C52" s="886"/>
      <c r="D52" s="889"/>
      <c r="E52" s="851"/>
      <c r="F52" s="854"/>
      <c r="G52" s="833"/>
      <c r="H52" s="836"/>
      <c r="I52" s="839"/>
      <c r="J52" s="842"/>
      <c r="K52" s="836"/>
      <c r="L52" s="845"/>
      <c r="M52" s="848"/>
      <c r="N52" s="457" t="s">
        <v>570</v>
      </c>
      <c r="O52" s="453" t="s">
        <v>186</v>
      </c>
      <c r="P52" s="451" t="s">
        <v>571</v>
      </c>
      <c r="Q52" s="453" t="s">
        <v>320</v>
      </c>
      <c r="R52" s="454" t="s">
        <v>314</v>
      </c>
      <c r="S52" s="454" t="s">
        <v>164</v>
      </c>
      <c r="T52" s="470">
        <v>0</v>
      </c>
      <c r="U52" s="470">
        <v>0</v>
      </c>
      <c r="V52" s="50" t="e">
        <f>+U52/T52</f>
        <v>#DIV/0!</v>
      </c>
      <c r="W52" s="469">
        <v>1</v>
      </c>
      <c r="X52" s="469">
        <v>1</v>
      </c>
      <c r="Y52" s="50">
        <f t="shared" si="1"/>
        <v>1</v>
      </c>
      <c r="Z52" s="459" t="s">
        <v>603</v>
      </c>
      <c r="AA52" s="468" t="s">
        <v>294</v>
      </c>
      <c r="AB52" s="11"/>
      <c r="AC52" s="11"/>
      <c r="AD52" s="12"/>
      <c r="AE52" s="1"/>
    </row>
    <row r="53" spans="3:31" ht="261.75" customHeight="1" thickBot="1" x14ac:dyDescent="0.3">
      <c r="C53" s="886"/>
      <c r="D53" s="889"/>
      <c r="E53" s="851"/>
      <c r="F53" s="854"/>
      <c r="G53" s="833"/>
      <c r="H53" s="836"/>
      <c r="I53" s="839"/>
      <c r="J53" s="842"/>
      <c r="K53" s="836"/>
      <c r="L53" s="845"/>
      <c r="M53" s="848"/>
      <c r="N53" s="45" t="s">
        <v>572</v>
      </c>
      <c r="O53" s="33" t="s">
        <v>321</v>
      </c>
      <c r="P53" s="44" t="s">
        <v>573</v>
      </c>
      <c r="Q53" s="33" t="s">
        <v>378</v>
      </c>
      <c r="R53" s="34" t="s">
        <v>314</v>
      </c>
      <c r="S53" s="34" t="s">
        <v>164</v>
      </c>
      <c r="T53" s="39">
        <v>0</v>
      </c>
      <c r="U53" s="39">
        <v>0</v>
      </c>
      <c r="V53" s="50" t="e">
        <f t="shared" si="0"/>
        <v>#DIV/0!</v>
      </c>
      <c r="W53" s="89">
        <v>1</v>
      </c>
      <c r="X53" s="89">
        <f>0%+U53</f>
        <v>0</v>
      </c>
      <c r="Y53" s="50">
        <f t="shared" si="1"/>
        <v>0</v>
      </c>
      <c r="Z53" s="248" t="s">
        <v>605</v>
      </c>
      <c r="AA53" s="254" t="s">
        <v>604</v>
      </c>
      <c r="AB53" s="11"/>
      <c r="AC53" s="11"/>
      <c r="AD53" s="12"/>
      <c r="AE53" s="1"/>
    </row>
    <row r="54" spans="3:31" ht="336.75" customHeight="1" thickBot="1" x14ac:dyDescent="0.3">
      <c r="C54" s="887"/>
      <c r="D54" s="890"/>
      <c r="E54" s="852"/>
      <c r="F54" s="855"/>
      <c r="G54" s="834"/>
      <c r="H54" s="837"/>
      <c r="I54" s="840"/>
      <c r="J54" s="843"/>
      <c r="K54" s="837"/>
      <c r="L54" s="846"/>
      <c r="M54" s="849"/>
      <c r="N54" s="45" t="s">
        <v>574</v>
      </c>
      <c r="O54" s="33" t="s">
        <v>322</v>
      </c>
      <c r="P54" s="44" t="s">
        <v>575</v>
      </c>
      <c r="Q54" s="33" t="s">
        <v>442</v>
      </c>
      <c r="R54" s="34" t="s">
        <v>314</v>
      </c>
      <c r="S54" s="34" t="s">
        <v>164</v>
      </c>
      <c r="T54" s="34">
        <v>0.34</v>
      </c>
      <c r="U54" s="34">
        <v>0.255</v>
      </c>
      <c r="V54" s="357">
        <f t="shared" si="0"/>
        <v>0.75</v>
      </c>
      <c r="W54" s="79">
        <f>66%+T54</f>
        <v>1</v>
      </c>
      <c r="X54" s="79">
        <f>66%+U54</f>
        <v>0.91500000000000004</v>
      </c>
      <c r="Y54" s="357">
        <f t="shared" si="1"/>
        <v>0.91500000000000004</v>
      </c>
      <c r="Z54" s="460" t="s">
        <v>606</v>
      </c>
      <c r="AA54" s="254" t="s">
        <v>607</v>
      </c>
      <c r="AB54" s="11"/>
      <c r="AC54" s="11"/>
      <c r="AD54" s="12"/>
      <c r="AE54" s="1"/>
    </row>
    <row r="55" spans="3:31" ht="163.5" customHeight="1" thickBot="1" x14ac:dyDescent="0.3">
      <c r="C55" s="885" t="s">
        <v>18</v>
      </c>
      <c r="D55" s="888" t="s">
        <v>19</v>
      </c>
      <c r="E55" s="850">
        <v>3</v>
      </c>
      <c r="F55" s="853" t="s">
        <v>70</v>
      </c>
      <c r="G55" s="832">
        <v>309</v>
      </c>
      <c r="H55" s="835" t="s">
        <v>192</v>
      </c>
      <c r="I55" s="838">
        <v>0.05</v>
      </c>
      <c r="J55" s="841" t="s">
        <v>193</v>
      </c>
      <c r="K55" s="835" t="s">
        <v>194</v>
      </c>
      <c r="L55" s="844" t="s">
        <v>81</v>
      </c>
      <c r="M55" s="847">
        <v>1</v>
      </c>
      <c r="N55" s="45" t="s">
        <v>583</v>
      </c>
      <c r="O55" s="33" t="s">
        <v>338</v>
      </c>
      <c r="P55" s="44" t="s">
        <v>584</v>
      </c>
      <c r="Q55" s="33" t="s">
        <v>197</v>
      </c>
      <c r="R55" s="34" t="s">
        <v>339</v>
      </c>
      <c r="S55" s="34" t="s">
        <v>42</v>
      </c>
      <c r="T55" s="36">
        <v>0</v>
      </c>
      <c r="U55" s="36">
        <v>1</v>
      </c>
      <c r="V55" s="50">
        <v>1</v>
      </c>
      <c r="W55" s="36">
        <v>1</v>
      </c>
      <c r="X55" s="36">
        <f>+U55</f>
        <v>1</v>
      </c>
      <c r="Y55" s="50">
        <f t="shared" si="1"/>
        <v>1</v>
      </c>
      <c r="Z55" s="255" t="s">
        <v>608</v>
      </c>
      <c r="AA55" s="249" t="s">
        <v>292</v>
      </c>
      <c r="AB55" s="20"/>
      <c r="AC55" s="20"/>
      <c r="AD55" s="21"/>
      <c r="AE55" s="1"/>
    </row>
    <row r="56" spans="3:31" ht="200.25" customHeight="1" thickBot="1" x14ac:dyDescent="0.3">
      <c r="C56" s="886"/>
      <c r="D56" s="889"/>
      <c r="E56" s="851"/>
      <c r="F56" s="854"/>
      <c r="G56" s="833"/>
      <c r="H56" s="836"/>
      <c r="I56" s="839"/>
      <c r="J56" s="842"/>
      <c r="K56" s="836"/>
      <c r="L56" s="845"/>
      <c r="M56" s="848"/>
      <c r="N56" s="45" t="s">
        <v>208</v>
      </c>
      <c r="O56" s="33" t="s">
        <v>199</v>
      </c>
      <c r="P56" s="44" t="s">
        <v>210</v>
      </c>
      <c r="Q56" s="33" t="s">
        <v>201</v>
      </c>
      <c r="R56" s="34" t="s">
        <v>202</v>
      </c>
      <c r="S56" s="34" t="s">
        <v>42</v>
      </c>
      <c r="T56" s="36">
        <v>1</v>
      </c>
      <c r="U56" s="36">
        <v>0</v>
      </c>
      <c r="V56" s="50">
        <f t="shared" si="0"/>
        <v>0</v>
      </c>
      <c r="W56" s="36">
        <f>2+T56</f>
        <v>3</v>
      </c>
      <c r="X56" s="36">
        <f>1+U56</f>
        <v>1</v>
      </c>
      <c r="Y56" s="50">
        <f t="shared" si="1"/>
        <v>0.33333333333333331</v>
      </c>
      <c r="Z56" s="248" t="s">
        <v>667</v>
      </c>
      <c r="AA56" s="249" t="s">
        <v>292</v>
      </c>
      <c r="AB56" s="20"/>
      <c r="AC56" s="20"/>
      <c r="AD56" s="21"/>
      <c r="AE56" s="1"/>
    </row>
    <row r="57" spans="3:31" ht="169.5" customHeight="1" thickBot="1" x14ac:dyDescent="0.3">
      <c r="C57" s="886"/>
      <c r="D57" s="889"/>
      <c r="E57" s="851"/>
      <c r="F57" s="854"/>
      <c r="G57" s="833"/>
      <c r="H57" s="836"/>
      <c r="I57" s="839"/>
      <c r="J57" s="842"/>
      <c r="K57" s="836"/>
      <c r="L57" s="845"/>
      <c r="M57" s="848"/>
      <c r="N57" s="45" t="s">
        <v>561</v>
      </c>
      <c r="O57" s="33" t="s">
        <v>204</v>
      </c>
      <c r="P57" s="44" t="s">
        <v>562</v>
      </c>
      <c r="Q57" s="33" t="s">
        <v>206</v>
      </c>
      <c r="R57" s="34" t="s">
        <v>207</v>
      </c>
      <c r="S57" s="34" t="s">
        <v>42</v>
      </c>
      <c r="T57" s="36">
        <v>4</v>
      </c>
      <c r="U57" s="36">
        <v>0</v>
      </c>
      <c r="V57" s="50">
        <f t="shared" si="0"/>
        <v>0</v>
      </c>
      <c r="W57" s="36">
        <f>8+T57</f>
        <v>12</v>
      </c>
      <c r="X57" s="36">
        <f>+U57</f>
        <v>0</v>
      </c>
      <c r="Y57" s="50">
        <f t="shared" si="1"/>
        <v>0</v>
      </c>
      <c r="Z57" s="484" t="s">
        <v>638</v>
      </c>
      <c r="AA57" s="495" t="s">
        <v>650</v>
      </c>
      <c r="AB57" s="20"/>
      <c r="AC57" s="20"/>
      <c r="AD57" s="21"/>
      <c r="AE57" s="1"/>
    </row>
    <row r="58" spans="3:31" ht="309.75" customHeight="1" thickBot="1" x14ac:dyDescent="0.3">
      <c r="C58" s="886"/>
      <c r="D58" s="889"/>
      <c r="E58" s="851"/>
      <c r="F58" s="854"/>
      <c r="G58" s="833"/>
      <c r="H58" s="836"/>
      <c r="I58" s="839"/>
      <c r="J58" s="842"/>
      <c r="K58" s="836"/>
      <c r="L58" s="845"/>
      <c r="M58" s="848"/>
      <c r="N58" s="45" t="s">
        <v>563</v>
      </c>
      <c r="O58" s="33" t="s">
        <v>209</v>
      </c>
      <c r="P58" s="44" t="s">
        <v>564</v>
      </c>
      <c r="Q58" s="33" t="s">
        <v>194</v>
      </c>
      <c r="R58" s="34" t="s">
        <v>194</v>
      </c>
      <c r="S58" s="34" t="s">
        <v>42</v>
      </c>
      <c r="T58" s="36">
        <v>1</v>
      </c>
      <c r="U58" s="36">
        <v>0</v>
      </c>
      <c r="V58" s="50">
        <f t="shared" si="0"/>
        <v>0</v>
      </c>
      <c r="W58" s="36">
        <f>2+T58</f>
        <v>3</v>
      </c>
      <c r="X58" s="36">
        <f>1+U58</f>
        <v>1</v>
      </c>
      <c r="Y58" s="50">
        <f t="shared" si="1"/>
        <v>0.33333333333333331</v>
      </c>
      <c r="Z58" s="248" t="s">
        <v>638</v>
      </c>
      <c r="AA58" s="495" t="s">
        <v>651</v>
      </c>
      <c r="AB58" s="20"/>
      <c r="AC58" s="20"/>
      <c r="AD58" s="21"/>
      <c r="AE58" s="1"/>
    </row>
    <row r="59" spans="3:31" ht="119.25" customHeight="1" thickBot="1" x14ac:dyDescent="0.3">
      <c r="C59" s="886"/>
      <c r="D59" s="889"/>
      <c r="E59" s="851"/>
      <c r="F59" s="854"/>
      <c r="G59" s="833"/>
      <c r="H59" s="836"/>
      <c r="I59" s="839"/>
      <c r="J59" s="842"/>
      <c r="K59" s="836"/>
      <c r="L59" s="845"/>
      <c r="M59" s="848"/>
      <c r="N59" s="810" t="s">
        <v>211</v>
      </c>
      <c r="O59" s="813" t="s">
        <v>212</v>
      </c>
      <c r="P59" s="44" t="s">
        <v>213</v>
      </c>
      <c r="Q59" s="33" t="s">
        <v>214</v>
      </c>
      <c r="R59" s="34" t="s">
        <v>215</v>
      </c>
      <c r="S59" s="34" t="s">
        <v>42</v>
      </c>
      <c r="T59" s="36">
        <v>10</v>
      </c>
      <c r="U59" s="36">
        <v>0</v>
      </c>
      <c r="V59" s="50">
        <f>+U59/T59</f>
        <v>0</v>
      </c>
      <c r="W59" s="36">
        <f>10+T59</f>
        <v>20</v>
      </c>
      <c r="X59" s="36">
        <f>+U59</f>
        <v>0</v>
      </c>
      <c r="Y59" s="50">
        <f t="shared" si="1"/>
        <v>0</v>
      </c>
      <c r="Z59" s="248" t="s">
        <v>621</v>
      </c>
      <c r="AA59" s="249" t="s">
        <v>292</v>
      </c>
      <c r="AB59" s="20"/>
      <c r="AC59" s="20"/>
      <c r="AD59" s="21"/>
      <c r="AE59" s="1"/>
    </row>
    <row r="60" spans="3:31" ht="360" customHeight="1" thickBot="1" x14ac:dyDescent="0.3">
      <c r="C60" s="886"/>
      <c r="D60" s="889"/>
      <c r="E60" s="851"/>
      <c r="F60" s="854"/>
      <c r="G60" s="833"/>
      <c r="H60" s="836"/>
      <c r="I60" s="839"/>
      <c r="J60" s="842"/>
      <c r="K60" s="836"/>
      <c r="L60" s="845"/>
      <c r="M60" s="848"/>
      <c r="N60" s="811"/>
      <c r="O60" s="814"/>
      <c r="P60" s="44" t="s">
        <v>216</v>
      </c>
      <c r="Q60" s="33" t="s">
        <v>217</v>
      </c>
      <c r="R60" s="34" t="s">
        <v>218</v>
      </c>
      <c r="S60" s="34" t="s">
        <v>219</v>
      </c>
      <c r="T60" s="36">
        <v>8</v>
      </c>
      <c r="U60" s="36">
        <v>10</v>
      </c>
      <c r="V60" s="50">
        <f>+T60/U60</f>
        <v>0.8</v>
      </c>
      <c r="W60" s="36">
        <v>8</v>
      </c>
      <c r="X60" s="250">
        <v>9</v>
      </c>
      <c r="Y60" s="50">
        <f>+W60/X60</f>
        <v>0.88888888888888884</v>
      </c>
      <c r="Z60" s="248" t="s">
        <v>642</v>
      </c>
      <c r="AA60" s="253" t="s">
        <v>668</v>
      </c>
      <c r="AB60" s="20"/>
      <c r="AC60" s="20"/>
      <c r="AD60" s="21"/>
      <c r="AE60" s="1"/>
    </row>
    <row r="61" spans="3:31" ht="177" customHeight="1" thickBot="1" x14ac:dyDescent="0.3">
      <c r="C61" s="886"/>
      <c r="D61" s="889"/>
      <c r="E61" s="851"/>
      <c r="F61" s="854"/>
      <c r="G61" s="833"/>
      <c r="H61" s="836"/>
      <c r="I61" s="839"/>
      <c r="J61" s="842"/>
      <c r="K61" s="836"/>
      <c r="L61" s="845"/>
      <c r="M61" s="848"/>
      <c r="N61" s="812"/>
      <c r="O61" s="815"/>
      <c r="P61" s="44" t="s">
        <v>220</v>
      </c>
      <c r="Q61" s="33" t="s">
        <v>221</v>
      </c>
      <c r="R61" s="34" t="s">
        <v>222</v>
      </c>
      <c r="S61" s="34" t="s">
        <v>343</v>
      </c>
      <c r="T61" s="34">
        <v>1</v>
      </c>
      <c r="U61" s="34">
        <v>0.75</v>
      </c>
      <c r="V61" s="50">
        <f t="shared" si="0"/>
        <v>0.75</v>
      </c>
      <c r="W61" s="34">
        <v>1</v>
      </c>
      <c r="X61" s="90">
        <v>0.86499999999999999</v>
      </c>
      <c r="Y61" s="50">
        <f t="shared" si="1"/>
        <v>0.86499999999999999</v>
      </c>
      <c r="Z61" s="252" t="s">
        <v>669</v>
      </c>
      <c r="AA61" s="249" t="s">
        <v>292</v>
      </c>
      <c r="AB61" s="20"/>
      <c r="AC61" s="20"/>
      <c r="AD61" s="21"/>
      <c r="AE61" s="1"/>
    </row>
    <row r="62" spans="3:31" ht="169.5" customHeight="1" thickBot="1" x14ac:dyDescent="0.3">
      <c r="C62" s="886"/>
      <c r="D62" s="889"/>
      <c r="E62" s="851"/>
      <c r="F62" s="854"/>
      <c r="G62" s="833"/>
      <c r="H62" s="836"/>
      <c r="I62" s="839"/>
      <c r="J62" s="842"/>
      <c r="K62" s="836"/>
      <c r="L62" s="845"/>
      <c r="M62" s="848"/>
      <c r="N62" s="45" t="s">
        <v>224</v>
      </c>
      <c r="O62" s="33" t="s">
        <v>225</v>
      </c>
      <c r="P62" s="44" t="s">
        <v>226</v>
      </c>
      <c r="Q62" s="33" t="s">
        <v>227</v>
      </c>
      <c r="R62" s="34" t="s">
        <v>228</v>
      </c>
      <c r="S62" s="34" t="s">
        <v>229</v>
      </c>
      <c r="T62" s="34">
        <v>0</v>
      </c>
      <c r="U62" s="34">
        <v>0.2</v>
      </c>
      <c r="V62" s="50">
        <v>1</v>
      </c>
      <c r="W62" s="34">
        <v>1</v>
      </c>
      <c r="X62" s="39">
        <f>80%+U62</f>
        <v>1</v>
      </c>
      <c r="Y62" s="50">
        <f t="shared" si="1"/>
        <v>1</v>
      </c>
      <c r="Z62" s="252" t="s">
        <v>653</v>
      </c>
      <c r="AA62" s="249" t="s">
        <v>292</v>
      </c>
      <c r="AB62" s="20"/>
      <c r="AC62" s="20"/>
      <c r="AD62" s="21"/>
      <c r="AE62" s="1"/>
    </row>
    <row r="63" spans="3:31" ht="343.5" hidden="1" customHeight="1" thickBot="1" x14ac:dyDescent="0.3">
      <c r="C63" s="887"/>
      <c r="D63" s="890"/>
      <c r="E63" s="852"/>
      <c r="F63" s="855"/>
      <c r="G63" s="834"/>
      <c r="H63" s="837"/>
      <c r="I63" s="840"/>
      <c r="J63" s="843"/>
      <c r="K63" s="837"/>
      <c r="L63" s="846"/>
      <c r="M63" s="849"/>
      <c r="N63" s="45" t="s">
        <v>230</v>
      </c>
      <c r="O63" s="410" t="s">
        <v>232</v>
      </c>
      <c r="P63" s="411" t="s">
        <v>231</v>
      </c>
      <c r="Q63" s="410" t="s">
        <v>233</v>
      </c>
      <c r="R63" s="412" t="s">
        <v>234</v>
      </c>
      <c r="S63" s="412" t="s">
        <v>235</v>
      </c>
      <c r="T63" s="413"/>
      <c r="U63" s="413"/>
      <c r="V63" s="414" t="e">
        <f t="shared" si="0"/>
        <v>#DIV/0!</v>
      </c>
      <c r="W63" s="413">
        <v>1</v>
      </c>
      <c r="X63" s="413">
        <v>1</v>
      </c>
      <c r="Y63" s="414">
        <f t="shared" si="1"/>
        <v>1</v>
      </c>
      <c r="Z63" s="477" t="s">
        <v>535</v>
      </c>
      <c r="AA63" s="478" t="s">
        <v>536</v>
      </c>
      <c r="AB63" s="20"/>
      <c r="AC63" s="20"/>
      <c r="AD63" s="21"/>
      <c r="AE63" s="1"/>
    </row>
    <row r="64" spans="3:31" ht="237" customHeight="1" thickBot="1" x14ac:dyDescent="0.3">
      <c r="C64" s="885" t="s">
        <v>18</v>
      </c>
      <c r="D64" s="888" t="s">
        <v>19</v>
      </c>
      <c r="E64" s="850">
        <v>3</v>
      </c>
      <c r="F64" s="853" t="s">
        <v>70</v>
      </c>
      <c r="G64" s="832">
        <v>309</v>
      </c>
      <c r="H64" s="908" t="s">
        <v>543</v>
      </c>
      <c r="I64" s="501"/>
      <c r="J64" s="841" t="s">
        <v>193</v>
      </c>
      <c r="K64" s="908" t="s">
        <v>544</v>
      </c>
      <c r="L64" s="844" t="s">
        <v>81</v>
      </c>
      <c r="M64" s="847"/>
      <c r="N64" s="810" t="s">
        <v>236</v>
      </c>
      <c r="O64" s="813" t="s">
        <v>237</v>
      </c>
      <c r="P64" s="44" t="s">
        <v>238</v>
      </c>
      <c r="Q64" s="33" t="s">
        <v>239</v>
      </c>
      <c r="R64" s="34" t="s">
        <v>240</v>
      </c>
      <c r="S64" s="34" t="s">
        <v>42</v>
      </c>
      <c r="T64" s="36">
        <v>1250</v>
      </c>
      <c r="U64" s="36">
        <v>1290</v>
      </c>
      <c r="V64" s="50">
        <f t="shared" si="0"/>
        <v>1.032</v>
      </c>
      <c r="W64" s="36">
        <f>2300+T64</f>
        <v>3550</v>
      </c>
      <c r="X64" s="40">
        <f>2480+U64</f>
        <v>3770</v>
      </c>
      <c r="Y64" s="50">
        <f t="shared" si="1"/>
        <v>1.0619718309859154</v>
      </c>
      <c r="Z64" s="264" t="s">
        <v>609</v>
      </c>
      <c r="AA64" s="462" t="s">
        <v>670</v>
      </c>
      <c r="AB64" s="20"/>
      <c r="AC64" s="20"/>
      <c r="AD64" s="427"/>
      <c r="AE64" s="1"/>
    </row>
    <row r="65" spans="1:31" ht="239.25" customHeight="1" thickBot="1" x14ac:dyDescent="0.3">
      <c r="C65" s="886"/>
      <c r="D65" s="889"/>
      <c r="E65" s="851"/>
      <c r="F65" s="854"/>
      <c r="G65" s="833"/>
      <c r="H65" s="938"/>
      <c r="I65" s="358"/>
      <c r="J65" s="842"/>
      <c r="K65" s="938"/>
      <c r="L65" s="845"/>
      <c r="M65" s="848"/>
      <c r="N65" s="812"/>
      <c r="O65" s="815"/>
      <c r="P65" s="44" t="s">
        <v>241</v>
      </c>
      <c r="Q65" s="33" t="s">
        <v>332</v>
      </c>
      <c r="R65" s="34" t="s">
        <v>333</v>
      </c>
      <c r="S65" s="34" t="s">
        <v>77</v>
      </c>
      <c r="T65" s="79">
        <v>1</v>
      </c>
      <c r="U65" s="79">
        <v>0.99</v>
      </c>
      <c r="V65" s="50">
        <f t="shared" si="0"/>
        <v>0.99</v>
      </c>
      <c r="W65" s="34">
        <v>1</v>
      </c>
      <c r="X65" s="90">
        <v>0.99</v>
      </c>
      <c r="Y65" s="50">
        <f t="shared" si="1"/>
        <v>0.99</v>
      </c>
      <c r="Z65" s="252" t="s">
        <v>610</v>
      </c>
      <c r="AA65" s="254" t="s">
        <v>671</v>
      </c>
      <c r="AB65" s="20"/>
      <c r="AC65" s="20"/>
      <c r="AD65" s="21"/>
      <c r="AE65" s="1"/>
    </row>
    <row r="66" spans="1:31" ht="376.5" customHeight="1" thickBot="1" x14ac:dyDescent="0.3">
      <c r="C66" s="886"/>
      <c r="D66" s="889"/>
      <c r="E66" s="851"/>
      <c r="F66" s="854"/>
      <c r="G66" s="833"/>
      <c r="H66" s="938"/>
      <c r="I66" s="358"/>
      <c r="J66" s="842"/>
      <c r="K66" s="938"/>
      <c r="L66" s="845"/>
      <c r="M66" s="848"/>
      <c r="N66" s="810" t="s">
        <v>242</v>
      </c>
      <c r="O66" s="816" t="s">
        <v>243</v>
      </c>
      <c r="P66" s="44" t="s">
        <v>244</v>
      </c>
      <c r="Q66" s="33" t="s">
        <v>245</v>
      </c>
      <c r="R66" s="34" t="s">
        <v>228</v>
      </c>
      <c r="S66" s="34" t="s">
        <v>229</v>
      </c>
      <c r="T66" s="90">
        <v>0.46700000000000003</v>
      </c>
      <c r="U66" s="90">
        <v>0.46679999999999999</v>
      </c>
      <c r="V66" s="50">
        <f>+U66/T66</f>
        <v>0.99957173447537462</v>
      </c>
      <c r="W66" s="88">
        <f>53.3%+T66</f>
        <v>1</v>
      </c>
      <c r="X66" s="90">
        <f>51.33%+U66</f>
        <v>0.98009999999999997</v>
      </c>
      <c r="Y66" s="50">
        <f t="shared" si="1"/>
        <v>0.98009999999999997</v>
      </c>
      <c r="Z66" s="252" t="s">
        <v>673</v>
      </c>
      <c r="AA66" s="266" t="s">
        <v>611</v>
      </c>
      <c r="AB66" s="20"/>
      <c r="AC66" s="20"/>
      <c r="AD66" s="21"/>
      <c r="AE66" s="1"/>
    </row>
    <row r="67" spans="1:31" ht="248.25" customHeight="1" thickBot="1" x14ac:dyDescent="0.3">
      <c r="C67" s="886"/>
      <c r="D67" s="889"/>
      <c r="E67" s="852"/>
      <c r="F67" s="855"/>
      <c r="G67" s="834"/>
      <c r="H67" s="909"/>
      <c r="I67" s="359"/>
      <c r="J67" s="843"/>
      <c r="K67" s="909"/>
      <c r="L67" s="846"/>
      <c r="M67" s="849"/>
      <c r="N67" s="812"/>
      <c r="O67" s="817"/>
      <c r="P67" s="44" t="s">
        <v>298</v>
      </c>
      <c r="Q67" s="33" t="s">
        <v>334</v>
      </c>
      <c r="R67" s="34" t="s">
        <v>228</v>
      </c>
      <c r="S67" s="34" t="s">
        <v>164</v>
      </c>
      <c r="T67" s="79">
        <v>0.36699999999999999</v>
      </c>
      <c r="U67" s="79">
        <v>0.36680000000000001</v>
      </c>
      <c r="V67" s="50">
        <f>+U67/T67</f>
        <v>0.99945504087193471</v>
      </c>
      <c r="W67" s="88">
        <f>63.33%+T67</f>
        <v>1.0003</v>
      </c>
      <c r="X67" s="90">
        <f>45.83%+U67</f>
        <v>0.82509999999999994</v>
      </c>
      <c r="Y67" s="50">
        <f>+X67/W67</f>
        <v>0.82485254423672894</v>
      </c>
      <c r="Z67" s="252" t="s">
        <v>612</v>
      </c>
      <c r="AA67" s="267" t="s">
        <v>613</v>
      </c>
      <c r="AB67" s="20"/>
      <c r="AC67" s="20"/>
      <c r="AD67" s="21"/>
      <c r="AE67" s="1"/>
    </row>
    <row r="68" spans="1:31" ht="389.25" customHeight="1" x14ac:dyDescent="0.25">
      <c r="C68" s="886"/>
      <c r="D68" s="889"/>
      <c r="E68" s="850">
        <v>4</v>
      </c>
      <c r="F68" s="853" t="s">
        <v>246</v>
      </c>
      <c r="G68" s="832">
        <v>401</v>
      </c>
      <c r="H68" s="835" t="s">
        <v>247</v>
      </c>
      <c r="I68" s="838">
        <v>0.35</v>
      </c>
      <c r="J68" s="841" t="s">
        <v>248</v>
      </c>
      <c r="K68" s="835" t="s">
        <v>249</v>
      </c>
      <c r="L68" s="844" t="s">
        <v>81</v>
      </c>
      <c r="M68" s="826">
        <v>1</v>
      </c>
      <c r="N68" s="856" t="s">
        <v>580</v>
      </c>
      <c r="O68" s="828" t="s">
        <v>335</v>
      </c>
      <c r="P68" s="826" t="s">
        <v>581</v>
      </c>
      <c r="Q68" s="828" t="s">
        <v>336</v>
      </c>
      <c r="R68" s="820" t="s">
        <v>337</v>
      </c>
      <c r="S68" s="820" t="s">
        <v>42</v>
      </c>
      <c r="T68" s="945">
        <v>10</v>
      </c>
      <c r="U68" s="945">
        <v>11</v>
      </c>
      <c r="V68" s="769">
        <f t="shared" si="0"/>
        <v>1.1000000000000001</v>
      </c>
      <c r="W68" s="945">
        <f>10+T68</f>
        <v>20</v>
      </c>
      <c r="X68" s="945">
        <f>10+U68</f>
        <v>21</v>
      </c>
      <c r="Y68" s="769">
        <f t="shared" si="1"/>
        <v>1.05</v>
      </c>
      <c r="Z68" s="947" t="s">
        <v>674</v>
      </c>
      <c r="AA68" s="949" t="s">
        <v>598</v>
      </c>
      <c r="AB68" s="22"/>
      <c r="AC68" s="22"/>
      <c r="AD68" s="23"/>
      <c r="AE68" s="1">
        <f>91-62</f>
        <v>29</v>
      </c>
    </row>
    <row r="69" spans="1:31" ht="186" customHeight="1" thickBot="1" x14ac:dyDescent="0.3">
      <c r="C69" s="887"/>
      <c r="D69" s="890"/>
      <c r="E69" s="852"/>
      <c r="F69" s="855"/>
      <c r="G69" s="834"/>
      <c r="H69" s="837"/>
      <c r="I69" s="840"/>
      <c r="J69" s="843"/>
      <c r="K69" s="837"/>
      <c r="L69" s="846"/>
      <c r="M69" s="827"/>
      <c r="N69" s="857"/>
      <c r="O69" s="829"/>
      <c r="P69" s="827"/>
      <c r="Q69" s="829"/>
      <c r="R69" s="821"/>
      <c r="S69" s="821"/>
      <c r="T69" s="946"/>
      <c r="U69" s="946"/>
      <c r="V69" s="770"/>
      <c r="W69" s="946"/>
      <c r="X69" s="946"/>
      <c r="Y69" s="770"/>
      <c r="Z69" s="948"/>
      <c r="AA69" s="950"/>
      <c r="AB69" s="22"/>
      <c r="AC69" s="22"/>
      <c r="AD69" s="23"/>
      <c r="AE69" s="1"/>
    </row>
    <row r="70" spans="1:31" ht="174.75" customHeight="1" thickBot="1" x14ac:dyDescent="0.3">
      <c r="C70" s="474"/>
      <c r="D70" s="472"/>
      <c r="E70" s="851">
        <v>4</v>
      </c>
      <c r="F70" s="854" t="s">
        <v>246</v>
      </c>
      <c r="G70" s="833">
        <v>402</v>
      </c>
      <c r="H70" s="836" t="s">
        <v>286</v>
      </c>
      <c r="I70" s="839">
        <v>0.35</v>
      </c>
      <c r="J70" s="444" t="s">
        <v>252</v>
      </c>
      <c r="K70" s="447" t="s">
        <v>253</v>
      </c>
      <c r="L70" s="449" t="s">
        <v>81</v>
      </c>
      <c r="M70" s="461">
        <v>0.6</v>
      </c>
      <c r="N70" s="942" t="s">
        <v>585</v>
      </c>
      <c r="O70" s="943" t="s">
        <v>340</v>
      </c>
      <c r="P70" s="944" t="s">
        <v>586</v>
      </c>
      <c r="Q70" s="941" t="s">
        <v>341</v>
      </c>
      <c r="R70" s="939" t="s">
        <v>342</v>
      </c>
      <c r="S70" s="939" t="s">
        <v>256</v>
      </c>
      <c r="T70" s="939">
        <v>0.75</v>
      </c>
      <c r="U70" s="939">
        <v>0</v>
      </c>
      <c r="V70" s="779">
        <f t="shared" si="0"/>
        <v>0</v>
      </c>
      <c r="W70" s="939">
        <f>+T70</f>
        <v>0.75</v>
      </c>
      <c r="X70" s="939">
        <f>+U70</f>
        <v>0</v>
      </c>
      <c r="Y70" s="779">
        <f t="shared" si="1"/>
        <v>0</v>
      </c>
      <c r="Z70" s="940" t="s">
        <v>599</v>
      </c>
      <c r="AA70" s="932" t="s">
        <v>600</v>
      </c>
      <c r="AB70" s="24"/>
      <c r="AC70" s="24"/>
      <c r="AD70" s="25"/>
      <c r="AE70" s="1"/>
    </row>
    <row r="71" spans="1:31" ht="93" customHeight="1" thickBot="1" x14ac:dyDescent="0.3">
      <c r="C71" s="474"/>
      <c r="D71" s="472"/>
      <c r="E71" s="851"/>
      <c r="F71" s="854"/>
      <c r="G71" s="834"/>
      <c r="H71" s="837"/>
      <c r="I71" s="840"/>
      <c r="J71" s="14" t="s">
        <v>257</v>
      </c>
      <c r="K71" s="437" t="s">
        <v>194</v>
      </c>
      <c r="L71" s="439" t="s">
        <v>81</v>
      </c>
      <c r="M71" s="436">
        <v>0.4</v>
      </c>
      <c r="N71" s="857"/>
      <c r="O71" s="825"/>
      <c r="P71" s="827"/>
      <c r="Q71" s="829"/>
      <c r="R71" s="821"/>
      <c r="S71" s="821"/>
      <c r="T71" s="821"/>
      <c r="U71" s="821"/>
      <c r="V71" s="770"/>
      <c r="W71" s="821"/>
      <c r="X71" s="821"/>
      <c r="Y71" s="770"/>
      <c r="Z71" s="823"/>
      <c r="AA71" s="819"/>
      <c r="AB71" s="24"/>
      <c r="AC71" s="24"/>
      <c r="AD71" s="25"/>
      <c r="AE71" s="1"/>
    </row>
    <row r="72" spans="1:31" ht="251.25" customHeight="1" thickBot="1" x14ac:dyDescent="0.3">
      <c r="C72" s="475"/>
      <c r="D72" s="473"/>
      <c r="E72" s="852"/>
      <c r="F72" s="855"/>
      <c r="G72" s="435">
        <v>403</v>
      </c>
      <c r="H72" s="437" t="s">
        <v>258</v>
      </c>
      <c r="I72" s="438">
        <v>0.3</v>
      </c>
      <c r="J72" s="14" t="s">
        <v>259</v>
      </c>
      <c r="K72" s="437" t="s">
        <v>260</v>
      </c>
      <c r="L72" s="439" t="s">
        <v>81</v>
      </c>
      <c r="M72" s="436">
        <v>1</v>
      </c>
      <c r="N72" s="65" t="s">
        <v>203</v>
      </c>
      <c r="O72" s="41" t="s">
        <v>262</v>
      </c>
      <c r="P72" s="46" t="s">
        <v>205</v>
      </c>
      <c r="Q72" s="41" t="s">
        <v>194</v>
      </c>
      <c r="R72" s="42" t="s">
        <v>194</v>
      </c>
      <c r="S72" s="42" t="s">
        <v>42</v>
      </c>
      <c r="T72" s="43">
        <v>1</v>
      </c>
      <c r="U72" s="43">
        <v>1</v>
      </c>
      <c r="V72" s="51">
        <f>+U72/T72</f>
        <v>1</v>
      </c>
      <c r="W72" s="43">
        <f>1+T72</f>
        <v>2</v>
      </c>
      <c r="X72" s="43">
        <f>1+U72</f>
        <v>2</v>
      </c>
      <c r="Y72" s="51">
        <f t="shared" si="1"/>
        <v>1</v>
      </c>
      <c r="Z72" s="255" t="s">
        <v>637</v>
      </c>
      <c r="AA72" s="254" t="s">
        <v>675</v>
      </c>
      <c r="AB72" s="22"/>
      <c r="AC72" s="22"/>
      <c r="AD72" s="23"/>
      <c r="AE72" s="1"/>
    </row>
    <row r="73" spans="1:31" ht="12.75" customHeight="1" x14ac:dyDescent="0.35">
      <c r="E73" s="26"/>
      <c r="F73" s="2"/>
      <c r="G73" s="1"/>
      <c r="H73" s="3"/>
      <c r="I73" s="4"/>
      <c r="J73" s="1"/>
      <c r="K73" s="3"/>
      <c r="L73" s="5"/>
      <c r="M73" s="27"/>
      <c r="N73" s="27"/>
      <c r="O73" s="27"/>
      <c r="P73" s="27"/>
      <c r="Q73" s="27"/>
      <c r="R73" s="27"/>
      <c r="S73" s="27"/>
      <c r="T73" s="27"/>
      <c r="U73" s="27"/>
      <c r="V73" s="27"/>
      <c r="W73" s="27"/>
      <c r="X73" s="27"/>
      <c r="Y73" s="27"/>
      <c r="Z73" s="27"/>
      <c r="AA73" s="27"/>
      <c r="AB73" s="27"/>
      <c r="AC73" s="27"/>
      <c r="AD73" s="27"/>
      <c r="AE73" s="1"/>
    </row>
    <row r="74" spans="1:31" s="29" customFormat="1" x14ac:dyDescent="0.35">
      <c r="A74" s="2"/>
      <c r="B74" s="2"/>
      <c r="C74" s="2"/>
      <c r="D74" s="2"/>
      <c r="E74" s="1"/>
      <c r="F74" s="2"/>
      <c r="G74" s="1"/>
      <c r="H74" s="3"/>
      <c r="I74" s="28"/>
      <c r="J74" s="1"/>
      <c r="K74" s="3"/>
      <c r="L74" s="5"/>
      <c r="M74" s="1"/>
      <c r="N74" s="1"/>
      <c r="O74" s="1"/>
      <c r="P74" s="1"/>
      <c r="Q74" s="1"/>
      <c r="R74" s="1"/>
      <c r="S74" s="1"/>
      <c r="T74" s="1"/>
      <c r="U74" s="1"/>
      <c r="V74" s="1"/>
      <c r="W74" s="1"/>
      <c r="X74" s="1"/>
      <c r="Y74" s="1"/>
      <c r="Z74" s="1"/>
      <c r="AA74" s="1"/>
      <c r="AB74" s="1"/>
      <c r="AC74" s="1"/>
      <c r="AD74" s="1"/>
      <c r="AE74" s="2"/>
    </row>
    <row r="75" spans="1:31" x14ac:dyDescent="0.35">
      <c r="E75" s="1"/>
      <c r="F75" s="2"/>
      <c r="G75" s="1"/>
      <c r="H75" s="3"/>
      <c r="I75" s="4"/>
      <c r="J75" s="1"/>
      <c r="K75" s="3"/>
      <c r="L75" s="5"/>
      <c r="M75" s="1"/>
      <c r="N75" s="1"/>
      <c r="O75" s="1"/>
      <c r="P75" s="1"/>
      <c r="Q75" s="1"/>
      <c r="R75" s="1"/>
      <c r="S75" s="1"/>
      <c r="T75" s="1"/>
      <c r="U75" s="1"/>
      <c r="V75" s="1"/>
      <c r="W75" s="1"/>
      <c r="X75" s="1"/>
      <c r="Y75" s="1"/>
      <c r="Z75" s="1"/>
      <c r="AA75" s="1"/>
      <c r="AB75" s="1"/>
      <c r="AC75" s="1"/>
      <c r="AD75" s="1"/>
      <c r="AE75" s="1"/>
    </row>
    <row r="76" spans="1:31" x14ac:dyDescent="0.35">
      <c r="E76" s="1"/>
      <c r="F76" s="2"/>
      <c r="G76" s="1"/>
      <c r="H76" s="3"/>
      <c r="I76" s="4"/>
      <c r="J76" s="1"/>
      <c r="K76" s="3"/>
      <c r="L76" s="5"/>
      <c r="M76" s="1"/>
      <c r="N76" s="1"/>
      <c r="O76" s="1"/>
      <c r="P76" s="1"/>
      <c r="Q76" s="1"/>
      <c r="R76" s="1"/>
      <c r="S76" s="1"/>
      <c r="T76" s="1"/>
      <c r="U76" s="1"/>
      <c r="V76" s="1"/>
      <c r="W76" s="1"/>
      <c r="X76" s="1"/>
      <c r="Y76" s="1"/>
      <c r="Z76" s="1"/>
      <c r="AA76" s="1"/>
      <c r="AB76" s="1"/>
      <c r="AC76" s="1"/>
      <c r="AD76" s="1"/>
      <c r="AE76" s="1"/>
    </row>
  </sheetData>
  <mergeCells count="248">
    <mergeCell ref="C2:AA2"/>
    <mergeCell ref="C3:AA3"/>
    <mergeCell ref="C4:AA4"/>
    <mergeCell ref="C6:M6"/>
    <mergeCell ref="N6:AA6"/>
    <mergeCell ref="C7:C8"/>
    <mergeCell ref="D7:D8"/>
    <mergeCell ref="E7:F7"/>
    <mergeCell ref="G7:I7"/>
    <mergeCell ref="J7:M7"/>
    <mergeCell ref="Z7:Z8"/>
    <mergeCell ref="AA7:AA8"/>
    <mergeCell ref="P7:Q7"/>
    <mergeCell ref="R7:R8"/>
    <mergeCell ref="S7:S8"/>
    <mergeCell ref="T7:V7"/>
    <mergeCell ref="W7:Y7"/>
    <mergeCell ref="C9:C23"/>
    <mergeCell ref="D9:D23"/>
    <mergeCell ref="E9:E15"/>
    <mergeCell ref="F9:F15"/>
    <mergeCell ref="G10:G12"/>
    <mergeCell ref="H10:H12"/>
    <mergeCell ref="I10:I12"/>
    <mergeCell ref="N10:N11"/>
    <mergeCell ref="N7:O7"/>
    <mergeCell ref="E16:E22"/>
    <mergeCell ref="F16:F22"/>
    <mergeCell ref="H18:H19"/>
    <mergeCell ref="I18:I19"/>
    <mergeCell ref="G20:G22"/>
    <mergeCell ref="H20:H22"/>
    <mergeCell ref="I20:I22"/>
    <mergeCell ref="G16:G17"/>
    <mergeCell ref="H16:H17"/>
    <mergeCell ref="I16:I17"/>
    <mergeCell ref="G18:G19"/>
    <mergeCell ref="AA10:AA11"/>
    <mergeCell ref="G13:G15"/>
    <mergeCell ref="H13:H15"/>
    <mergeCell ref="I13:I15"/>
    <mergeCell ref="J13:J14"/>
    <mergeCell ref="K13:K14"/>
    <mergeCell ref="L13:L14"/>
    <mergeCell ref="M13:M14"/>
    <mergeCell ref="Z13:Z15"/>
    <mergeCell ref="AA13:AA15"/>
    <mergeCell ref="U10:U11"/>
    <mergeCell ref="V10:V11"/>
    <mergeCell ref="W10:W11"/>
    <mergeCell ref="X10:X11"/>
    <mergeCell ref="Y10:Y11"/>
    <mergeCell ref="Z10:Z11"/>
    <mergeCell ref="O10:O11"/>
    <mergeCell ref="P10:P11"/>
    <mergeCell ref="Q10:Q11"/>
    <mergeCell ref="R10:R11"/>
    <mergeCell ref="S10:S11"/>
    <mergeCell ref="T10:T11"/>
    <mergeCell ref="Z24:Z25"/>
    <mergeCell ref="AA16:AA22"/>
    <mergeCell ref="P16:P22"/>
    <mergeCell ref="Q16:Q22"/>
    <mergeCell ref="R16:R22"/>
    <mergeCell ref="S16:S22"/>
    <mergeCell ref="T16:T22"/>
    <mergeCell ref="U16:U22"/>
    <mergeCell ref="N14:N15"/>
    <mergeCell ref="O14:O15"/>
    <mergeCell ref="N16:N22"/>
    <mergeCell ref="O16:O22"/>
    <mergeCell ref="Z16:Z22"/>
    <mergeCell ref="V16:V22"/>
    <mergeCell ref="W16:W22"/>
    <mergeCell ref="X16:X22"/>
    <mergeCell ref="Y16:Y22"/>
    <mergeCell ref="P24:P25"/>
    <mergeCell ref="Q24:Q25"/>
    <mergeCell ref="R24:R25"/>
    <mergeCell ref="S24:S25"/>
    <mergeCell ref="G32:G34"/>
    <mergeCell ref="H32:H34"/>
    <mergeCell ref="I32:I34"/>
    <mergeCell ref="J32:J34"/>
    <mergeCell ref="G40:G42"/>
    <mergeCell ref="H40:H42"/>
    <mergeCell ref="I40:I42"/>
    <mergeCell ref="I35:I39"/>
    <mergeCell ref="J37:J38"/>
    <mergeCell ref="G35:G39"/>
    <mergeCell ref="H24:H26"/>
    <mergeCell ref="I24:I26"/>
    <mergeCell ref="O27:O28"/>
    <mergeCell ref="C24:C30"/>
    <mergeCell ref="D24:D30"/>
    <mergeCell ref="E24:E30"/>
    <mergeCell ref="F24:F30"/>
    <mergeCell ref="J24:J26"/>
    <mergeCell ref="G24:G26"/>
    <mergeCell ref="K24:K26"/>
    <mergeCell ref="L24:L26"/>
    <mergeCell ref="M24:M26"/>
    <mergeCell ref="V37:V38"/>
    <mergeCell ref="W37:W38"/>
    <mergeCell ref="X37:X38"/>
    <mergeCell ref="Y37:Y38"/>
    <mergeCell ref="K37:K38"/>
    <mergeCell ref="L37:L38"/>
    <mergeCell ref="M37:M38"/>
    <mergeCell ref="AA24:AA25"/>
    <mergeCell ref="G27:G31"/>
    <mergeCell ref="H27:H31"/>
    <mergeCell ref="I27:I31"/>
    <mergeCell ref="J27:J31"/>
    <mergeCell ref="K27:K31"/>
    <mergeCell ref="L27:L31"/>
    <mergeCell ref="M27:M31"/>
    <mergeCell ref="N27:N28"/>
    <mergeCell ref="T24:T25"/>
    <mergeCell ref="U24:U25"/>
    <mergeCell ref="V24:V25"/>
    <mergeCell ref="W24:W25"/>
    <mergeCell ref="X24:X25"/>
    <mergeCell ref="Y24:Y25"/>
    <mergeCell ref="N24:N25"/>
    <mergeCell ref="O24:O25"/>
    <mergeCell ref="P37:P38"/>
    <mergeCell ref="Q37:Q38"/>
    <mergeCell ref="R37:R38"/>
    <mergeCell ref="S37:S38"/>
    <mergeCell ref="T37:T38"/>
    <mergeCell ref="U37:U38"/>
    <mergeCell ref="N35:N38"/>
    <mergeCell ref="O35:O38"/>
    <mergeCell ref="K32:K34"/>
    <mergeCell ref="L32:L34"/>
    <mergeCell ref="M32:M34"/>
    <mergeCell ref="N33:N34"/>
    <mergeCell ref="O33:O34"/>
    <mergeCell ref="W40:W42"/>
    <mergeCell ref="X40:X42"/>
    <mergeCell ref="Y40:Y42"/>
    <mergeCell ref="Z40:Z42"/>
    <mergeCell ref="AA40:AA42"/>
    <mergeCell ref="C44:C54"/>
    <mergeCell ref="D44:D54"/>
    <mergeCell ref="E44:E54"/>
    <mergeCell ref="F44:F54"/>
    <mergeCell ref="G44:G46"/>
    <mergeCell ref="Q40:Q42"/>
    <mergeCell ref="R40:R42"/>
    <mergeCell ref="S40:S42"/>
    <mergeCell ref="T40:T42"/>
    <mergeCell ref="U40:U42"/>
    <mergeCell ref="V40:V42"/>
    <mergeCell ref="N40:N42"/>
    <mergeCell ref="O40:O42"/>
    <mergeCell ref="P40:P42"/>
    <mergeCell ref="C32:C43"/>
    <mergeCell ref="D32:D43"/>
    <mergeCell ref="E32:E43"/>
    <mergeCell ref="F32:F43"/>
    <mergeCell ref="H35:H39"/>
    <mergeCell ref="C55:C63"/>
    <mergeCell ref="D55:D63"/>
    <mergeCell ref="E55:E63"/>
    <mergeCell ref="F55:F63"/>
    <mergeCell ref="G55:G63"/>
    <mergeCell ref="H55:H63"/>
    <mergeCell ref="O45:O46"/>
    <mergeCell ref="G47:G54"/>
    <mergeCell ref="H47:H54"/>
    <mergeCell ref="I47:I54"/>
    <mergeCell ref="N47:N51"/>
    <mergeCell ref="O47:O51"/>
    <mergeCell ref="J48:J54"/>
    <mergeCell ref="K48:K54"/>
    <mergeCell ref="L48:L54"/>
    <mergeCell ref="M48:M54"/>
    <mergeCell ref="H44:H46"/>
    <mergeCell ref="J44:J46"/>
    <mergeCell ref="K44:K46"/>
    <mergeCell ref="L44:L46"/>
    <mergeCell ref="M44:M46"/>
    <mergeCell ref="N45:N46"/>
    <mergeCell ref="G68:G69"/>
    <mergeCell ref="H68:H69"/>
    <mergeCell ref="I68:I69"/>
    <mergeCell ref="O59:O61"/>
    <mergeCell ref="E64:E67"/>
    <mergeCell ref="F64:F67"/>
    <mergeCell ref="G64:G67"/>
    <mergeCell ref="H64:H67"/>
    <mergeCell ref="J64:J67"/>
    <mergeCell ref="K64:K67"/>
    <mergeCell ref="L64:L67"/>
    <mergeCell ref="I55:I63"/>
    <mergeCell ref="J55:J63"/>
    <mergeCell ref="K55:K63"/>
    <mergeCell ref="L55:L63"/>
    <mergeCell ref="M55:M63"/>
    <mergeCell ref="N59:N61"/>
    <mergeCell ref="J68:J69"/>
    <mergeCell ref="K68:K69"/>
    <mergeCell ref="L68:L69"/>
    <mergeCell ref="M68:M69"/>
    <mergeCell ref="N68:N69"/>
    <mergeCell ref="O68:O69"/>
    <mergeCell ref="M64:M67"/>
    <mergeCell ref="N64:N65"/>
    <mergeCell ref="O64:O65"/>
    <mergeCell ref="N66:N67"/>
    <mergeCell ref="O66:O67"/>
    <mergeCell ref="W68:W69"/>
    <mergeCell ref="X68:X69"/>
    <mergeCell ref="Y68:Y69"/>
    <mergeCell ref="Z68:Z69"/>
    <mergeCell ref="AA68:AA69"/>
    <mergeCell ref="P68:P69"/>
    <mergeCell ref="Q68:Q69"/>
    <mergeCell ref="R68:R69"/>
    <mergeCell ref="S68:S69"/>
    <mergeCell ref="T68:T69"/>
    <mergeCell ref="U68:U69"/>
    <mergeCell ref="C64:C69"/>
    <mergeCell ref="D64:D69"/>
    <mergeCell ref="E68:E69"/>
    <mergeCell ref="E70:E72"/>
    <mergeCell ref="W70:W71"/>
    <mergeCell ref="X70:X71"/>
    <mergeCell ref="Y70:Y71"/>
    <mergeCell ref="Z70:Z71"/>
    <mergeCell ref="AA70:AA71"/>
    <mergeCell ref="F68:F69"/>
    <mergeCell ref="F70:F72"/>
    <mergeCell ref="Q70:Q71"/>
    <mergeCell ref="R70:R71"/>
    <mergeCell ref="S70:S71"/>
    <mergeCell ref="T70:T71"/>
    <mergeCell ref="U70:U71"/>
    <mergeCell ref="V70:V71"/>
    <mergeCell ref="G70:G71"/>
    <mergeCell ref="H70:H71"/>
    <mergeCell ref="I70:I71"/>
    <mergeCell ref="N70:N71"/>
    <mergeCell ref="O70:O71"/>
    <mergeCell ref="P70:P71"/>
    <mergeCell ref="V68:V69"/>
  </mergeCells>
  <conditionalFormatting sqref="V9:V10 Y10 Y43:Y68 V43:V68 Y70 V70">
    <cfRule type="cellIs" dxfId="50" priority="10" stopIfTrue="1" operator="greaterThanOrEqual">
      <formula>80.01%</formula>
    </cfRule>
    <cfRule type="cellIs" dxfId="49" priority="11" stopIfTrue="1" operator="between">
      <formula>0.501</formula>
      <formula>0.8</formula>
    </cfRule>
    <cfRule type="cellIs" dxfId="48" priority="12" stopIfTrue="1" operator="lessThanOrEqual">
      <formula>0.5</formula>
    </cfRule>
  </conditionalFormatting>
  <conditionalFormatting sqref="Y9">
    <cfRule type="cellIs" dxfId="47" priority="7" stopIfTrue="1" operator="greaterThanOrEqual">
      <formula>80.01%</formula>
    </cfRule>
    <cfRule type="cellIs" dxfId="46" priority="8" stopIfTrue="1" operator="between">
      <formula>0.501</formula>
      <formula>0.8</formula>
    </cfRule>
    <cfRule type="cellIs" dxfId="45" priority="9" stopIfTrue="1" operator="lessThanOrEqual">
      <formula>0.5</formula>
    </cfRule>
  </conditionalFormatting>
  <conditionalFormatting sqref="V12:V16 V23:V24 V72 V39:V40 V26:V37">
    <cfRule type="cellIs" dxfId="44" priority="4" stopIfTrue="1" operator="greaterThanOrEqual">
      <formula>80.01%</formula>
    </cfRule>
    <cfRule type="cellIs" dxfId="43" priority="5" stopIfTrue="1" operator="between">
      <formula>0.501</formula>
      <formula>0.8</formula>
    </cfRule>
    <cfRule type="cellIs" dxfId="42" priority="6" stopIfTrue="1" operator="lessThanOrEqual">
      <formula>0.5</formula>
    </cfRule>
  </conditionalFormatting>
  <conditionalFormatting sqref="Y12:Y16 Y23:Y24 Y72 Y39:Y40 Y26:Y37">
    <cfRule type="cellIs" dxfId="41" priority="1" stopIfTrue="1" operator="greaterThanOrEqual">
      <formula>80.01%</formula>
    </cfRule>
    <cfRule type="cellIs" dxfId="40" priority="2" stopIfTrue="1" operator="between">
      <formula>0.501</formula>
      <formula>0.8</formula>
    </cfRule>
    <cfRule type="cellIs" dxfId="39" priority="3" stopIfTrue="1" operator="lessThanOrEqual">
      <formula>0.5</formula>
    </cfRule>
  </conditionalFormatting>
  <pageMargins left="0.39370078740157483" right="0.19685039370078741" top="0.59055118110236227" bottom="0.19685039370078741" header="0.31496062992125984" footer="0"/>
  <pageSetup paperSize="5" scale="23" orientation="landscape" r:id="rId1"/>
  <headerFooter alignWithMargins="0">
    <oddFooter>Página &amp;P de &amp;F</oddFooter>
  </headerFooter>
  <rowBreaks count="6" manualBreakCount="6">
    <brk id="23" max="16383" man="1"/>
    <brk id="31" max="27" man="1"/>
    <brk id="43" max="16383" man="1"/>
    <brk id="54" max="16383" man="1"/>
    <brk id="63" max="16383" man="1"/>
    <brk id="69" max="27" man="1"/>
  </rowBreaks>
  <colBreaks count="1" manualBreakCount="1">
    <brk id="28" max="73"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76"/>
  <sheetViews>
    <sheetView view="pageBreakPreview" topLeftCell="P1" zoomScale="40" zoomScaleNormal="70" zoomScaleSheetLayoutView="40" workbookViewId="0">
      <selection activeCell="U12" sqref="U12"/>
    </sheetView>
  </sheetViews>
  <sheetFormatPr baseColWidth="10" defaultRowHeight="22.5" x14ac:dyDescent="0.35"/>
  <cols>
    <col min="1" max="1" width="2.85546875" style="1" customWidth="1"/>
    <col min="2" max="2" width="2" style="1" customWidth="1"/>
    <col min="3" max="4" width="10.140625" style="1" customWidth="1"/>
    <col min="5" max="5" width="7" style="6" customWidth="1"/>
    <col min="6" max="6" width="11" style="29" customWidth="1"/>
    <col min="7" max="7" width="7.7109375" style="6" customWidth="1"/>
    <col min="8" max="8" width="47.140625" style="30" customWidth="1"/>
    <col min="9" max="9" width="12.28515625" style="31" customWidth="1"/>
    <col min="10" max="10" width="11.42578125" style="6" customWidth="1"/>
    <col min="11" max="11" width="52.5703125" style="30" customWidth="1"/>
    <col min="12" max="12" width="11.5703125" style="32" customWidth="1"/>
    <col min="13" max="13" width="12.42578125" style="6" customWidth="1"/>
    <col min="14" max="14" width="15" style="6" customWidth="1"/>
    <col min="15" max="15" width="43.140625" style="6" customWidth="1"/>
    <col min="16" max="16" width="16.85546875" style="6" customWidth="1"/>
    <col min="17" max="17" width="42.85546875" style="6" customWidth="1"/>
    <col min="18" max="18" width="32.85546875" style="6" customWidth="1"/>
    <col min="19" max="19" width="24.28515625" style="6" customWidth="1"/>
    <col min="20" max="20" width="28.7109375" style="6" customWidth="1"/>
    <col min="21" max="21" width="29.140625" style="6" customWidth="1"/>
    <col min="22" max="22" width="23" style="6" customWidth="1"/>
    <col min="23" max="23" width="29.7109375" style="6" customWidth="1"/>
    <col min="24" max="24" width="29.42578125" style="6" customWidth="1"/>
    <col min="25" max="25" width="22.28515625" style="6" customWidth="1"/>
    <col min="26" max="26" width="75.7109375" style="6" customWidth="1"/>
    <col min="27" max="27" width="77.42578125" style="6" customWidth="1"/>
    <col min="28" max="28" width="6.140625" style="6" customWidth="1"/>
    <col min="29" max="29" width="12.42578125" style="6" customWidth="1"/>
    <col min="30" max="30" width="23.7109375" style="6" customWidth="1"/>
    <col min="31" max="31" width="10.28515625" style="6" customWidth="1"/>
    <col min="32" max="32" width="8" style="6" customWidth="1"/>
    <col min="33" max="16384" width="11.42578125" style="6"/>
  </cols>
  <sheetData>
    <row r="1" spans="3:35" ht="7.5" customHeight="1" x14ac:dyDescent="0.35">
      <c r="E1" s="1"/>
      <c r="F1" s="2"/>
      <c r="G1" s="1"/>
      <c r="H1" s="3"/>
      <c r="I1" s="4"/>
      <c r="J1" s="1"/>
      <c r="K1" s="3"/>
      <c r="L1" s="5"/>
      <c r="M1" s="1"/>
      <c r="N1" s="1"/>
      <c r="O1" s="1"/>
      <c r="P1" s="1"/>
      <c r="Q1" s="1"/>
      <c r="R1" s="1"/>
      <c r="S1" s="1"/>
      <c r="T1" s="1"/>
      <c r="U1" s="1"/>
      <c r="V1" s="1"/>
      <c r="W1" s="1"/>
      <c r="X1" s="1"/>
      <c r="Y1" s="1"/>
      <c r="Z1" s="1"/>
      <c r="AA1" s="1"/>
      <c r="AB1" s="1"/>
      <c r="AC1" s="1"/>
      <c r="AD1" s="1"/>
      <c r="AE1" s="1"/>
    </row>
    <row r="2" spans="3:35" ht="42" customHeight="1" x14ac:dyDescent="0.25">
      <c r="C2" s="910" t="s">
        <v>0</v>
      </c>
      <c r="D2" s="910"/>
      <c r="E2" s="910"/>
      <c r="F2" s="910"/>
      <c r="G2" s="910"/>
      <c r="H2" s="910"/>
      <c r="I2" s="910"/>
      <c r="J2" s="910"/>
      <c r="K2" s="910"/>
      <c r="L2" s="910"/>
      <c r="M2" s="910"/>
      <c r="N2" s="910"/>
      <c r="O2" s="910"/>
      <c r="P2" s="910"/>
      <c r="Q2" s="910"/>
      <c r="R2" s="910"/>
      <c r="S2" s="910"/>
      <c r="T2" s="910"/>
      <c r="U2" s="910"/>
      <c r="V2" s="910"/>
      <c r="W2" s="910"/>
      <c r="X2" s="910"/>
      <c r="Y2" s="910"/>
      <c r="Z2" s="910"/>
      <c r="AA2" s="910"/>
      <c r="AB2" s="7"/>
      <c r="AC2" s="7"/>
      <c r="AD2" s="7"/>
      <c r="AE2" s="1"/>
    </row>
    <row r="3" spans="3:35" ht="27" customHeight="1" x14ac:dyDescent="0.25">
      <c r="C3" s="910" t="s">
        <v>486</v>
      </c>
      <c r="D3" s="910"/>
      <c r="E3" s="910"/>
      <c r="F3" s="910"/>
      <c r="G3" s="910"/>
      <c r="H3" s="910"/>
      <c r="I3" s="910"/>
      <c r="J3" s="910"/>
      <c r="K3" s="910"/>
      <c r="L3" s="910"/>
      <c r="M3" s="910"/>
      <c r="N3" s="910"/>
      <c r="O3" s="910"/>
      <c r="P3" s="910"/>
      <c r="Q3" s="910"/>
      <c r="R3" s="910"/>
      <c r="S3" s="910"/>
      <c r="T3" s="910"/>
      <c r="U3" s="910"/>
      <c r="V3" s="910"/>
      <c r="W3" s="910"/>
      <c r="X3" s="910"/>
      <c r="Y3" s="910"/>
      <c r="Z3" s="910"/>
      <c r="AA3" s="910"/>
      <c r="AB3" s="7"/>
      <c r="AC3" s="7"/>
      <c r="AD3" s="7"/>
      <c r="AE3" s="1"/>
    </row>
    <row r="4" spans="3:35" ht="36" customHeight="1" x14ac:dyDescent="0.25">
      <c r="C4" s="911" t="s">
        <v>587</v>
      </c>
      <c r="D4" s="911"/>
      <c r="E4" s="911"/>
      <c r="F4" s="911"/>
      <c r="G4" s="911"/>
      <c r="H4" s="911"/>
      <c r="I4" s="911"/>
      <c r="J4" s="911"/>
      <c r="K4" s="911"/>
      <c r="L4" s="911"/>
      <c r="M4" s="911"/>
      <c r="N4" s="911"/>
      <c r="O4" s="911"/>
      <c r="P4" s="911"/>
      <c r="Q4" s="911"/>
      <c r="R4" s="911"/>
      <c r="S4" s="911"/>
      <c r="T4" s="911"/>
      <c r="U4" s="911"/>
      <c r="V4" s="911"/>
      <c r="W4" s="911"/>
      <c r="X4" s="911"/>
      <c r="Y4" s="911"/>
      <c r="Z4" s="911"/>
      <c r="AA4" s="911"/>
      <c r="AB4" s="539"/>
      <c r="AC4" s="539"/>
      <c r="AD4" s="539"/>
      <c r="AE4" s="1"/>
    </row>
    <row r="5" spans="3:35" ht="19.5" customHeight="1" thickBot="1" x14ac:dyDescent="0.3">
      <c r="E5" s="8"/>
      <c r="F5" s="8"/>
      <c r="G5" s="8"/>
      <c r="H5" s="8"/>
      <c r="I5" s="8"/>
      <c r="J5" s="8"/>
      <c r="K5" s="8"/>
      <c r="L5" s="8"/>
      <c r="M5" s="8"/>
      <c r="N5" s="8"/>
      <c r="O5" s="8"/>
      <c r="P5" s="8"/>
      <c r="Q5" s="8"/>
      <c r="R5" s="8"/>
      <c r="S5" s="8"/>
      <c r="T5" s="8"/>
      <c r="U5" s="8"/>
      <c r="V5" s="8"/>
      <c r="W5" s="8"/>
      <c r="X5" s="8"/>
      <c r="Y5" s="8"/>
      <c r="Z5" s="8"/>
      <c r="AA5" s="8"/>
      <c r="AB5" s="8"/>
      <c r="AC5" s="8"/>
      <c r="AD5" s="8"/>
      <c r="AE5" s="1"/>
    </row>
    <row r="6" spans="3:35" ht="42.75" customHeight="1" thickBot="1" x14ac:dyDescent="0.3">
      <c r="C6" s="912" t="s">
        <v>1</v>
      </c>
      <c r="D6" s="913"/>
      <c r="E6" s="913"/>
      <c r="F6" s="913"/>
      <c r="G6" s="913"/>
      <c r="H6" s="913"/>
      <c r="I6" s="913"/>
      <c r="J6" s="913"/>
      <c r="K6" s="913"/>
      <c r="L6" s="913"/>
      <c r="M6" s="914"/>
      <c r="N6" s="915" t="s">
        <v>2</v>
      </c>
      <c r="O6" s="916"/>
      <c r="P6" s="916"/>
      <c r="Q6" s="916"/>
      <c r="R6" s="916"/>
      <c r="S6" s="916"/>
      <c r="T6" s="916"/>
      <c r="U6" s="916"/>
      <c r="V6" s="916"/>
      <c r="W6" s="916"/>
      <c r="X6" s="916"/>
      <c r="Y6" s="916"/>
      <c r="Z6" s="916"/>
      <c r="AA6" s="917"/>
      <c r="AB6" s="9"/>
      <c r="AC6" s="9"/>
      <c r="AD6" s="9"/>
      <c r="AE6" s="1"/>
    </row>
    <row r="7" spans="3:35" ht="56.25" customHeight="1" thickBot="1" x14ac:dyDescent="0.3">
      <c r="C7" s="918" t="s">
        <v>3</v>
      </c>
      <c r="D7" s="918" t="s">
        <v>4</v>
      </c>
      <c r="E7" s="920" t="s">
        <v>5</v>
      </c>
      <c r="F7" s="921"/>
      <c r="G7" s="922" t="s">
        <v>6</v>
      </c>
      <c r="H7" s="923"/>
      <c r="I7" s="924"/>
      <c r="J7" s="922" t="s">
        <v>7</v>
      </c>
      <c r="K7" s="923"/>
      <c r="L7" s="923"/>
      <c r="M7" s="924"/>
      <c r="N7" s="898" t="s">
        <v>6</v>
      </c>
      <c r="O7" s="899"/>
      <c r="P7" s="898" t="s">
        <v>7</v>
      </c>
      <c r="Q7" s="899"/>
      <c r="R7" s="900" t="s">
        <v>8</v>
      </c>
      <c r="S7" s="902" t="s">
        <v>9</v>
      </c>
      <c r="T7" s="898" t="s">
        <v>589</v>
      </c>
      <c r="U7" s="904"/>
      <c r="V7" s="899"/>
      <c r="W7" s="905" t="s">
        <v>590</v>
      </c>
      <c r="X7" s="906"/>
      <c r="Y7" s="907"/>
      <c r="Z7" s="925" t="s">
        <v>266</v>
      </c>
      <c r="AA7" s="925" t="s">
        <v>267</v>
      </c>
      <c r="AB7" s="10"/>
      <c r="AC7" s="10"/>
      <c r="AD7" s="10"/>
      <c r="AE7" s="1"/>
    </row>
    <row r="8" spans="3:35" ht="94.5" customHeight="1" thickBot="1" x14ac:dyDescent="0.3">
      <c r="C8" s="919"/>
      <c r="D8" s="919"/>
      <c r="E8" s="66" t="s">
        <v>10</v>
      </c>
      <c r="F8" s="66" t="s">
        <v>11</v>
      </c>
      <c r="G8" s="66" t="s">
        <v>10</v>
      </c>
      <c r="H8" s="71" t="s">
        <v>12</v>
      </c>
      <c r="I8" s="66" t="s">
        <v>13</v>
      </c>
      <c r="J8" s="66" t="s">
        <v>10</v>
      </c>
      <c r="K8" s="71" t="s">
        <v>14</v>
      </c>
      <c r="L8" s="66" t="s">
        <v>15</v>
      </c>
      <c r="M8" s="66" t="s">
        <v>16</v>
      </c>
      <c r="N8" s="510" t="s">
        <v>17</v>
      </c>
      <c r="O8" s="511" t="s">
        <v>12</v>
      </c>
      <c r="P8" s="67" t="s">
        <v>17</v>
      </c>
      <c r="Q8" s="511" t="s">
        <v>14</v>
      </c>
      <c r="R8" s="901"/>
      <c r="S8" s="903"/>
      <c r="T8" s="68" t="s">
        <v>591</v>
      </c>
      <c r="U8" s="68" t="s">
        <v>592</v>
      </c>
      <c r="V8" s="68" t="s">
        <v>265</v>
      </c>
      <c r="W8" s="68" t="s">
        <v>593</v>
      </c>
      <c r="X8" s="68" t="s">
        <v>594</v>
      </c>
      <c r="Y8" s="68" t="s">
        <v>265</v>
      </c>
      <c r="Z8" s="926"/>
      <c r="AA8" s="926"/>
      <c r="AB8" s="10"/>
      <c r="AC8" s="10"/>
      <c r="AD8" s="10"/>
      <c r="AE8" s="1"/>
    </row>
    <row r="9" spans="3:35" ht="167.25" customHeight="1" thickBot="1" x14ac:dyDescent="0.3">
      <c r="C9" s="885" t="s">
        <v>18</v>
      </c>
      <c r="D9" s="888" t="s">
        <v>19</v>
      </c>
      <c r="E9" s="891">
        <v>1</v>
      </c>
      <c r="F9" s="893" t="s">
        <v>20</v>
      </c>
      <c r="G9" s="95">
        <v>101</v>
      </c>
      <c r="H9" s="96" t="s">
        <v>21</v>
      </c>
      <c r="I9" s="97">
        <v>0.6</v>
      </c>
      <c r="J9" s="503" t="s">
        <v>22</v>
      </c>
      <c r="K9" s="96" t="s">
        <v>23</v>
      </c>
      <c r="L9" s="98" t="s">
        <v>24</v>
      </c>
      <c r="M9" s="99">
        <v>1</v>
      </c>
      <c r="N9" s="514" t="s">
        <v>25</v>
      </c>
      <c r="O9" s="100" t="s">
        <v>26</v>
      </c>
      <c r="P9" s="44" t="s">
        <v>27</v>
      </c>
      <c r="Q9" s="33" t="s">
        <v>306</v>
      </c>
      <c r="R9" s="34" t="s">
        <v>307</v>
      </c>
      <c r="S9" s="34" t="s">
        <v>28</v>
      </c>
      <c r="T9" s="94">
        <v>448904</v>
      </c>
      <c r="U9" s="92">
        <v>-502995</v>
      </c>
      <c r="V9" s="50">
        <f>+U9/T9</f>
        <v>-1.120495696184485</v>
      </c>
      <c r="W9" s="69">
        <f>670651+T9</f>
        <v>1119555</v>
      </c>
      <c r="X9" s="70">
        <f>123283+U9</f>
        <v>-379712</v>
      </c>
      <c r="Y9" s="50">
        <f>+X9/W9</f>
        <v>-0.33916332828668533</v>
      </c>
      <c r="Z9" s="139" t="s">
        <v>618</v>
      </c>
      <c r="AA9" s="254" t="s">
        <v>619</v>
      </c>
      <c r="AB9" s="11"/>
      <c r="AC9" s="12"/>
      <c r="AD9" s="91">
        <f>+X9+X10</f>
        <v>-203936</v>
      </c>
      <c r="AE9" s="1"/>
    </row>
    <row r="10" spans="3:35" ht="81" customHeight="1" thickBot="1" x14ac:dyDescent="0.3">
      <c r="C10" s="886"/>
      <c r="D10" s="889"/>
      <c r="E10" s="892"/>
      <c r="F10" s="894"/>
      <c r="G10" s="832">
        <v>102</v>
      </c>
      <c r="H10" s="835" t="s">
        <v>29</v>
      </c>
      <c r="I10" s="895">
        <v>0.2</v>
      </c>
      <c r="J10" s="503" t="s">
        <v>30</v>
      </c>
      <c r="K10" s="507" t="s">
        <v>31</v>
      </c>
      <c r="L10" s="512" t="s">
        <v>24</v>
      </c>
      <c r="M10" s="514">
        <v>0.4</v>
      </c>
      <c r="N10" s="847" t="s">
        <v>32</v>
      </c>
      <c r="O10" s="813" t="s">
        <v>33</v>
      </c>
      <c r="P10" s="847" t="s">
        <v>34</v>
      </c>
      <c r="Q10" s="813" t="s">
        <v>331</v>
      </c>
      <c r="R10" s="858" t="s">
        <v>305</v>
      </c>
      <c r="S10" s="858" t="s">
        <v>28</v>
      </c>
      <c r="T10" s="881">
        <v>65000</v>
      </c>
      <c r="U10" s="881">
        <v>65499</v>
      </c>
      <c r="V10" s="769">
        <f t="shared" ref="V10:V70" si="0">+U10/T10</f>
        <v>1.0076769230769231</v>
      </c>
      <c r="W10" s="881">
        <f>105000+T10</f>
        <v>170000</v>
      </c>
      <c r="X10" s="883">
        <f>110277+U10</f>
        <v>175776</v>
      </c>
      <c r="Y10" s="769">
        <f t="shared" ref="Y10:Y72" si="1">+X10/W10</f>
        <v>1.0339764705882353</v>
      </c>
      <c r="Z10" s="773" t="s">
        <v>640</v>
      </c>
      <c r="AA10" s="928" t="s">
        <v>641</v>
      </c>
      <c r="AB10" s="11"/>
      <c r="AC10" s="12"/>
      <c r="AD10" s="13"/>
      <c r="AE10" s="1"/>
    </row>
    <row r="11" spans="3:35" ht="96.75" customHeight="1" thickBot="1" x14ac:dyDescent="0.3">
      <c r="C11" s="886"/>
      <c r="D11" s="889"/>
      <c r="E11" s="892"/>
      <c r="F11" s="894"/>
      <c r="G11" s="833"/>
      <c r="H11" s="836"/>
      <c r="I11" s="896"/>
      <c r="J11" s="14" t="s">
        <v>35</v>
      </c>
      <c r="K11" s="47" t="s">
        <v>36</v>
      </c>
      <c r="L11" s="512" t="s">
        <v>24</v>
      </c>
      <c r="M11" s="44">
        <v>0.3</v>
      </c>
      <c r="N11" s="849"/>
      <c r="O11" s="815"/>
      <c r="P11" s="849"/>
      <c r="Q11" s="815"/>
      <c r="R11" s="860"/>
      <c r="S11" s="860"/>
      <c r="T11" s="882"/>
      <c r="U11" s="882"/>
      <c r="V11" s="770"/>
      <c r="W11" s="882"/>
      <c r="X11" s="884"/>
      <c r="Y11" s="770"/>
      <c r="Z11" s="774"/>
      <c r="AA11" s="929"/>
      <c r="AB11" s="11"/>
      <c r="AC11" s="12"/>
      <c r="AD11" s="12"/>
      <c r="AE11" s="1"/>
    </row>
    <row r="12" spans="3:35" ht="243" customHeight="1" thickBot="1" x14ac:dyDescent="0.3">
      <c r="C12" s="886"/>
      <c r="D12" s="889"/>
      <c r="E12" s="892"/>
      <c r="F12" s="894"/>
      <c r="G12" s="834"/>
      <c r="H12" s="837"/>
      <c r="I12" s="897"/>
      <c r="J12" s="14" t="s">
        <v>37</v>
      </c>
      <c r="K12" s="47" t="s">
        <v>38</v>
      </c>
      <c r="L12" s="72" t="s">
        <v>24</v>
      </c>
      <c r="M12" s="44">
        <v>0.3</v>
      </c>
      <c r="N12" s="44" t="s">
        <v>39</v>
      </c>
      <c r="O12" s="33" t="s">
        <v>308</v>
      </c>
      <c r="P12" s="44" t="s">
        <v>40</v>
      </c>
      <c r="Q12" s="33" t="s">
        <v>308</v>
      </c>
      <c r="R12" s="34" t="s">
        <v>41</v>
      </c>
      <c r="S12" s="34" t="s">
        <v>42</v>
      </c>
      <c r="T12" s="36">
        <v>1</v>
      </c>
      <c r="U12" s="36">
        <v>0</v>
      </c>
      <c r="V12" s="50">
        <f t="shared" si="0"/>
        <v>0</v>
      </c>
      <c r="W12" s="36">
        <f>3+T12</f>
        <v>4</v>
      </c>
      <c r="X12" s="36">
        <f>2+U12</f>
        <v>2</v>
      </c>
      <c r="Y12" s="50">
        <f t="shared" si="1"/>
        <v>0.5</v>
      </c>
      <c r="Z12" s="248" t="s">
        <v>484</v>
      </c>
      <c r="AA12" s="254" t="s">
        <v>595</v>
      </c>
      <c r="AB12" s="11"/>
      <c r="AC12" s="12"/>
      <c r="AD12" s="12"/>
      <c r="AE12" s="1"/>
    </row>
    <row r="13" spans="3:35" ht="150.75" customHeight="1" thickBot="1" x14ac:dyDescent="0.3">
      <c r="C13" s="886"/>
      <c r="D13" s="889"/>
      <c r="E13" s="892"/>
      <c r="F13" s="894"/>
      <c r="G13" s="832">
        <v>103</v>
      </c>
      <c r="H13" s="835" t="s">
        <v>43</v>
      </c>
      <c r="I13" s="895">
        <v>0.2</v>
      </c>
      <c r="J13" s="841" t="s">
        <v>44</v>
      </c>
      <c r="K13" s="908" t="s">
        <v>45</v>
      </c>
      <c r="L13" s="844" t="s">
        <v>24</v>
      </c>
      <c r="M13" s="847">
        <v>0.5</v>
      </c>
      <c r="N13" s="402" t="s">
        <v>106</v>
      </c>
      <c r="O13" s="403" t="s">
        <v>324</v>
      </c>
      <c r="P13" s="404" t="s">
        <v>108</v>
      </c>
      <c r="Q13" s="403" t="s">
        <v>329</v>
      </c>
      <c r="R13" s="405" t="s">
        <v>325</v>
      </c>
      <c r="S13" s="406" t="s">
        <v>42</v>
      </c>
      <c r="T13" s="36">
        <v>0</v>
      </c>
      <c r="U13" s="36">
        <v>0</v>
      </c>
      <c r="V13" s="50" t="e">
        <f t="shared" si="0"/>
        <v>#DIV/0!</v>
      </c>
      <c r="W13" s="36">
        <v>0</v>
      </c>
      <c r="X13" s="36">
        <v>0</v>
      </c>
      <c r="Y13" s="50" t="e">
        <f t="shared" si="1"/>
        <v>#DIV/0!</v>
      </c>
      <c r="Z13" s="971" t="s">
        <v>557</v>
      </c>
      <c r="AA13" s="968" t="s">
        <v>293</v>
      </c>
      <c r="AB13" s="11"/>
      <c r="AC13" s="12"/>
      <c r="AD13" s="12"/>
      <c r="AE13" s="76"/>
      <c r="AG13" s="77"/>
      <c r="AI13" s="77"/>
    </row>
    <row r="14" spans="3:35" ht="132" customHeight="1" thickBot="1" x14ac:dyDescent="0.3">
      <c r="C14" s="886"/>
      <c r="D14" s="889"/>
      <c r="E14" s="892"/>
      <c r="F14" s="894"/>
      <c r="G14" s="833"/>
      <c r="H14" s="836"/>
      <c r="I14" s="896"/>
      <c r="J14" s="843"/>
      <c r="K14" s="909"/>
      <c r="L14" s="846"/>
      <c r="M14" s="849"/>
      <c r="N14" s="974" t="s">
        <v>46</v>
      </c>
      <c r="O14" s="963" t="s">
        <v>47</v>
      </c>
      <c r="P14" s="536" t="s">
        <v>48</v>
      </c>
      <c r="Q14" s="534" t="s">
        <v>330</v>
      </c>
      <c r="R14" s="405" t="s">
        <v>310</v>
      </c>
      <c r="S14" s="406" t="s">
        <v>49</v>
      </c>
      <c r="T14" s="36">
        <v>0</v>
      </c>
      <c r="U14" s="36">
        <v>0</v>
      </c>
      <c r="V14" s="50" t="e">
        <f>+U14/T14</f>
        <v>#DIV/0!</v>
      </c>
      <c r="W14" s="36">
        <v>0</v>
      </c>
      <c r="X14" s="36">
        <v>0</v>
      </c>
      <c r="Y14" s="50" t="e">
        <f>+X14/W14</f>
        <v>#DIV/0!</v>
      </c>
      <c r="Z14" s="972"/>
      <c r="AA14" s="969"/>
      <c r="AB14" s="11"/>
      <c r="AC14" s="12"/>
      <c r="AD14" s="12"/>
      <c r="AE14" s="76"/>
      <c r="AG14" s="77"/>
      <c r="AH14" s="77"/>
      <c r="AI14" s="77"/>
    </row>
    <row r="15" spans="3:35" ht="132" customHeight="1" thickBot="1" x14ac:dyDescent="0.3">
      <c r="C15" s="886"/>
      <c r="D15" s="889"/>
      <c r="E15" s="892"/>
      <c r="F15" s="894"/>
      <c r="G15" s="834"/>
      <c r="H15" s="837"/>
      <c r="I15" s="897"/>
      <c r="J15" s="503" t="s">
        <v>50</v>
      </c>
      <c r="K15" s="507" t="s">
        <v>287</v>
      </c>
      <c r="L15" s="512" t="s">
        <v>24</v>
      </c>
      <c r="M15" s="514">
        <v>0.5</v>
      </c>
      <c r="N15" s="975"/>
      <c r="O15" s="964"/>
      <c r="P15" s="404" t="s">
        <v>51</v>
      </c>
      <c r="Q15" s="403" t="s">
        <v>309</v>
      </c>
      <c r="R15" s="406" t="s">
        <v>311</v>
      </c>
      <c r="S15" s="406" t="s">
        <v>42</v>
      </c>
      <c r="T15" s="37">
        <v>0</v>
      </c>
      <c r="U15" s="36">
        <v>0</v>
      </c>
      <c r="V15" s="50" t="e">
        <f t="shared" si="0"/>
        <v>#DIV/0!</v>
      </c>
      <c r="W15" s="37">
        <v>0</v>
      </c>
      <c r="X15" s="36">
        <v>0</v>
      </c>
      <c r="Y15" s="50" t="e">
        <f t="shared" si="1"/>
        <v>#DIV/0!</v>
      </c>
      <c r="Z15" s="973"/>
      <c r="AA15" s="970"/>
      <c r="AB15" s="11"/>
      <c r="AC15" s="12"/>
      <c r="AD15" s="12"/>
      <c r="AE15" s="1"/>
    </row>
    <row r="16" spans="3:35" ht="108.75" customHeight="1" thickBot="1" x14ac:dyDescent="0.3">
      <c r="C16" s="886"/>
      <c r="D16" s="889"/>
      <c r="E16" s="850">
        <v>2</v>
      </c>
      <c r="F16" s="853" t="s">
        <v>52</v>
      </c>
      <c r="G16" s="878">
        <v>201</v>
      </c>
      <c r="H16" s="835" t="s">
        <v>283</v>
      </c>
      <c r="I16" s="868">
        <v>0.3</v>
      </c>
      <c r="J16" s="15" t="s">
        <v>53</v>
      </c>
      <c r="K16" s="47" t="s">
        <v>54</v>
      </c>
      <c r="L16" s="73" t="s">
        <v>24</v>
      </c>
      <c r="M16" s="44">
        <v>0.5</v>
      </c>
      <c r="N16" s="976" t="s">
        <v>98</v>
      </c>
      <c r="O16" s="813" t="s">
        <v>56</v>
      </c>
      <c r="P16" s="847" t="s">
        <v>99</v>
      </c>
      <c r="Q16" s="813" t="s">
        <v>351</v>
      </c>
      <c r="R16" s="858" t="s">
        <v>58</v>
      </c>
      <c r="S16" s="858" t="s">
        <v>42</v>
      </c>
      <c r="T16" s="865">
        <v>1</v>
      </c>
      <c r="U16" s="865">
        <v>0</v>
      </c>
      <c r="V16" s="769">
        <f t="shared" si="0"/>
        <v>0</v>
      </c>
      <c r="W16" s="865">
        <f>1+T16</f>
        <v>2</v>
      </c>
      <c r="X16" s="865">
        <f>1+U16</f>
        <v>1</v>
      </c>
      <c r="Y16" s="769">
        <f t="shared" si="1"/>
        <v>0.5</v>
      </c>
      <c r="Z16" s="830" t="s">
        <v>628</v>
      </c>
      <c r="AA16" s="927" t="s">
        <v>629</v>
      </c>
      <c r="AB16" s="11"/>
      <c r="AC16" s="12"/>
      <c r="AD16" s="13"/>
      <c r="AE16" s="1"/>
      <c r="AF16" s="6">
        <f>40+145</f>
        <v>185</v>
      </c>
    </row>
    <row r="17" spans="3:33" ht="66" customHeight="1" thickBot="1" x14ac:dyDescent="0.3">
      <c r="C17" s="886"/>
      <c r="D17" s="889"/>
      <c r="E17" s="851"/>
      <c r="F17" s="854"/>
      <c r="G17" s="879"/>
      <c r="H17" s="837"/>
      <c r="I17" s="869"/>
      <c r="J17" s="16" t="s">
        <v>59</v>
      </c>
      <c r="K17" s="507" t="s">
        <v>60</v>
      </c>
      <c r="L17" s="74" t="s">
        <v>24</v>
      </c>
      <c r="M17" s="514">
        <v>0.5</v>
      </c>
      <c r="N17" s="977"/>
      <c r="O17" s="814"/>
      <c r="P17" s="848"/>
      <c r="Q17" s="814"/>
      <c r="R17" s="859"/>
      <c r="S17" s="859"/>
      <c r="T17" s="866"/>
      <c r="U17" s="866"/>
      <c r="V17" s="779"/>
      <c r="W17" s="866"/>
      <c r="X17" s="866"/>
      <c r="Y17" s="779"/>
      <c r="Z17" s="933"/>
      <c r="AA17" s="932"/>
      <c r="AB17" s="11"/>
      <c r="AC17" s="12"/>
      <c r="AD17" s="13"/>
      <c r="AE17" s="1"/>
    </row>
    <row r="18" spans="3:33" ht="54.75" customHeight="1" thickBot="1" x14ac:dyDescent="0.3">
      <c r="C18" s="886"/>
      <c r="D18" s="889"/>
      <c r="E18" s="851"/>
      <c r="F18" s="854"/>
      <c r="G18" s="878">
        <v>202</v>
      </c>
      <c r="H18" s="835" t="s">
        <v>281</v>
      </c>
      <c r="I18" s="868">
        <v>0.3</v>
      </c>
      <c r="J18" s="16" t="s">
        <v>61</v>
      </c>
      <c r="K18" s="507" t="s">
        <v>62</v>
      </c>
      <c r="L18" s="74" t="s">
        <v>24</v>
      </c>
      <c r="M18" s="514">
        <v>0.5</v>
      </c>
      <c r="N18" s="977"/>
      <c r="O18" s="814"/>
      <c r="P18" s="848"/>
      <c r="Q18" s="814"/>
      <c r="R18" s="859"/>
      <c r="S18" s="859"/>
      <c r="T18" s="866"/>
      <c r="U18" s="866"/>
      <c r="V18" s="779"/>
      <c r="W18" s="866"/>
      <c r="X18" s="866"/>
      <c r="Y18" s="779"/>
      <c r="Z18" s="933"/>
      <c r="AA18" s="932"/>
      <c r="AB18" s="11"/>
      <c r="AC18" s="12"/>
      <c r="AD18" s="13"/>
      <c r="AE18" s="1"/>
    </row>
    <row r="19" spans="3:33" ht="88.5" customHeight="1" thickBot="1" x14ac:dyDescent="0.3">
      <c r="C19" s="886"/>
      <c r="D19" s="889"/>
      <c r="E19" s="851"/>
      <c r="F19" s="854"/>
      <c r="G19" s="879"/>
      <c r="H19" s="837"/>
      <c r="I19" s="869"/>
      <c r="J19" s="15" t="s">
        <v>63</v>
      </c>
      <c r="K19" s="47" t="s">
        <v>64</v>
      </c>
      <c r="L19" s="73" t="s">
        <v>24</v>
      </c>
      <c r="M19" s="44">
        <v>0.5</v>
      </c>
      <c r="N19" s="977"/>
      <c r="O19" s="814"/>
      <c r="P19" s="848"/>
      <c r="Q19" s="814"/>
      <c r="R19" s="859"/>
      <c r="S19" s="859"/>
      <c r="T19" s="866"/>
      <c r="U19" s="866"/>
      <c r="V19" s="779"/>
      <c r="W19" s="866"/>
      <c r="X19" s="866"/>
      <c r="Y19" s="779"/>
      <c r="Z19" s="933"/>
      <c r="AA19" s="932"/>
      <c r="AB19" s="11"/>
      <c r="AC19" s="12"/>
      <c r="AD19" s="17"/>
      <c r="AE19" s="1"/>
    </row>
    <row r="20" spans="3:33" ht="66" customHeight="1" thickBot="1" x14ac:dyDescent="0.3">
      <c r="C20" s="886"/>
      <c r="D20" s="889"/>
      <c r="E20" s="851"/>
      <c r="F20" s="854"/>
      <c r="G20" s="878">
        <v>203</v>
      </c>
      <c r="H20" s="835" t="s">
        <v>282</v>
      </c>
      <c r="I20" s="868">
        <v>0.2</v>
      </c>
      <c r="J20" s="15" t="s">
        <v>65</v>
      </c>
      <c r="K20" s="47" t="s">
        <v>66</v>
      </c>
      <c r="L20" s="73" t="s">
        <v>24</v>
      </c>
      <c r="M20" s="44">
        <v>0.4</v>
      </c>
      <c r="N20" s="977"/>
      <c r="O20" s="814"/>
      <c r="P20" s="848"/>
      <c r="Q20" s="814"/>
      <c r="R20" s="859"/>
      <c r="S20" s="859"/>
      <c r="T20" s="866"/>
      <c r="U20" s="866"/>
      <c r="V20" s="779"/>
      <c r="W20" s="866"/>
      <c r="X20" s="866"/>
      <c r="Y20" s="779"/>
      <c r="Z20" s="933"/>
      <c r="AA20" s="932"/>
      <c r="AB20" s="11"/>
      <c r="AC20" s="12"/>
      <c r="AD20" s="12"/>
      <c r="AE20" s="1"/>
    </row>
    <row r="21" spans="3:33" ht="82.5" customHeight="1" thickBot="1" x14ac:dyDescent="0.3">
      <c r="C21" s="886"/>
      <c r="D21" s="889"/>
      <c r="E21" s="851"/>
      <c r="F21" s="854"/>
      <c r="G21" s="880"/>
      <c r="H21" s="836"/>
      <c r="I21" s="875"/>
      <c r="J21" s="15" t="s">
        <v>67</v>
      </c>
      <c r="K21" s="47" t="s">
        <v>68</v>
      </c>
      <c r="L21" s="73" t="s">
        <v>24</v>
      </c>
      <c r="M21" s="44">
        <v>0.3</v>
      </c>
      <c r="N21" s="977"/>
      <c r="O21" s="814"/>
      <c r="P21" s="848"/>
      <c r="Q21" s="814"/>
      <c r="R21" s="859"/>
      <c r="S21" s="859"/>
      <c r="T21" s="866"/>
      <c r="U21" s="866"/>
      <c r="V21" s="779"/>
      <c r="W21" s="866"/>
      <c r="X21" s="866"/>
      <c r="Y21" s="779"/>
      <c r="Z21" s="933"/>
      <c r="AA21" s="932"/>
      <c r="AB21" s="11"/>
      <c r="AC21" s="11"/>
      <c r="AD21" s="12"/>
      <c r="AE21" s="1"/>
    </row>
    <row r="22" spans="3:33" ht="89.25" customHeight="1" thickBot="1" x14ac:dyDescent="0.3">
      <c r="C22" s="886"/>
      <c r="D22" s="889"/>
      <c r="E22" s="852"/>
      <c r="F22" s="855"/>
      <c r="G22" s="879"/>
      <c r="H22" s="837"/>
      <c r="I22" s="869"/>
      <c r="J22" s="18" t="s">
        <v>67</v>
      </c>
      <c r="K22" s="48" t="s">
        <v>69</v>
      </c>
      <c r="L22" s="75" t="s">
        <v>24</v>
      </c>
      <c r="M22" s="45">
        <v>0.3</v>
      </c>
      <c r="N22" s="978"/>
      <c r="O22" s="815"/>
      <c r="P22" s="849"/>
      <c r="Q22" s="815"/>
      <c r="R22" s="860"/>
      <c r="S22" s="860"/>
      <c r="T22" s="867"/>
      <c r="U22" s="867"/>
      <c r="V22" s="770"/>
      <c r="W22" s="867"/>
      <c r="X22" s="867"/>
      <c r="Y22" s="770"/>
      <c r="Z22" s="831"/>
      <c r="AA22" s="819"/>
      <c r="AB22" s="11"/>
      <c r="AC22" s="11"/>
      <c r="AD22" s="11"/>
      <c r="AE22" s="1"/>
    </row>
    <row r="23" spans="3:33" ht="168" customHeight="1" thickBot="1" x14ac:dyDescent="0.3">
      <c r="C23" s="887"/>
      <c r="D23" s="890"/>
      <c r="E23" s="355">
        <v>3</v>
      </c>
      <c r="F23" s="356" t="s">
        <v>70</v>
      </c>
      <c r="G23" s="506">
        <v>301</v>
      </c>
      <c r="H23" s="509" t="s">
        <v>71</v>
      </c>
      <c r="I23" s="519">
        <v>0.1</v>
      </c>
      <c r="J23" s="19" t="s">
        <v>72</v>
      </c>
      <c r="K23" s="509" t="s">
        <v>288</v>
      </c>
      <c r="L23" s="73" t="s">
        <v>24</v>
      </c>
      <c r="M23" s="44">
        <v>1</v>
      </c>
      <c r="N23" s="45" t="s">
        <v>73</v>
      </c>
      <c r="O23" s="33" t="s">
        <v>74</v>
      </c>
      <c r="P23" s="44" t="s">
        <v>75</v>
      </c>
      <c r="Q23" s="33" t="s">
        <v>358</v>
      </c>
      <c r="R23" s="34" t="s">
        <v>76</v>
      </c>
      <c r="S23" s="34" t="s">
        <v>229</v>
      </c>
      <c r="T23" s="34">
        <v>0.7</v>
      </c>
      <c r="U23" s="34">
        <v>0</v>
      </c>
      <c r="V23" s="357">
        <f t="shared" si="0"/>
        <v>0</v>
      </c>
      <c r="W23" s="88">
        <f>30%+T23</f>
        <v>1</v>
      </c>
      <c r="X23" s="88">
        <f>30%+U23</f>
        <v>0.3</v>
      </c>
      <c r="Y23" s="357">
        <f t="shared" si="1"/>
        <v>0.3</v>
      </c>
      <c r="Z23" s="253" t="s">
        <v>482</v>
      </c>
      <c r="AA23" s="254" t="s">
        <v>620</v>
      </c>
      <c r="AB23" s="11"/>
      <c r="AC23" s="11"/>
      <c r="AD23" s="12"/>
      <c r="AE23" s="76"/>
    </row>
    <row r="24" spans="3:33" ht="296.25" customHeight="1" x14ac:dyDescent="0.25">
      <c r="C24" s="885" t="s">
        <v>18</v>
      </c>
      <c r="D24" s="888" t="s">
        <v>19</v>
      </c>
      <c r="E24" s="850">
        <v>3</v>
      </c>
      <c r="F24" s="853" t="s">
        <v>70</v>
      </c>
      <c r="G24" s="832">
        <v>302</v>
      </c>
      <c r="H24" s="835" t="s">
        <v>78</v>
      </c>
      <c r="I24" s="868">
        <v>0.1</v>
      </c>
      <c r="J24" s="841" t="s">
        <v>79</v>
      </c>
      <c r="K24" s="871" t="s">
        <v>80</v>
      </c>
      <c r="L24" s="873" t="s">
        <v>81</v>
      </c>
      <c r="M24" s="810">
        <v>0.5</v>
      </c>
      <c r="N24" s="979" t="s">
        <v>577</v>
      </c>
      <c r="O24" s="957" t="s">
        <v>83</v>
      </c>
      <c r="P24" s="810" t="s">
        <v>576</v>
      </c>
      <c r="Q24" s="965" t="s">
        <v>85</v>
      </c>
      <c r="R24" s="957" t="s">
        <v>359</v>
      </c>
      <c r="S24" s="957" t="s">
        <v>77</v>
      </c>
      <c r="T24" s="953">
        <v>0.3</v>
      </c>
      <c r="U24" s="953">
        <v>0.216</v>
      </c>
      <c r="V24" s="769">
        <f t="shared" si="0"/>
        <v>0.72</v>
      </c>
      <c r="W24" s="955">
        <f>70%+T24</f>
        <v>1</v>
      </c>
      <c r="X24" s="955">
        <f>69%+U24</f>
        <v>0.90599999999999992</v>
      </c>
      <c r="Y24" s="769">
        <f t="shared" si="1"/>
        <v>0.90599999999999992</v>
      </c>
      <c r="Z24" s="961" t="s">
        <v>597</v>
      </c>
      <c r="AA24" s="951" t="s">
        <v>596</v>
      </c>
      <c r="AB24" s="11"/>
      <c r="AC24" s="11"/>
      <c r="AD24" s="11"/>
      <c r="AE24" s="1"/>
    </row>
    <row r="25" spans="3:33" ht="292.5" customHeight="1" thickBot="1" x14ac:dyDescent="0.3">
      <c r="C25" s="886"/>
      <c r="D25" s="889"/>
      <c r="E25" s="851"/>
      <c r="F25" s="854"/>
      <c r="G25" s="833"/>
      <c r="H25" s="836"/>
      <c r="I25" s="875"/>
      <c r="J25" s="842"/>
      <c r="K25" s="959"/>
      <c r="L25" s="960"/>
      <c r="M25" s="811"/>
      <c r="N25" s="980"/>
      <c r="O25" s="958"/>
      <c r="P25" s="812"/>
      <c r="Q25" s="966"/>
      <c r="R25" s="958"/>
      <c r="S25" s="958"/>
      <c r="T25" s="954"/>
      <c r="U25" s="954"/>
      <c r="V25" s="770"/>
      <c r="W25" s="956"/>
      <c r="X25" s="956"/>
      <c r="Y25" s="770"/>
      <c r="Z25" s="962"/>
      <c r="AA25" s="952"/>
      <c r="AB25" s="11"/>
      <c r="AC25" s="11"/>
      <c r="AD25" s="11"/>
      <c r="AE25" s="1"/>
    </row>
    <row r="26" spans="3:33" ht="303" customHeight="1" thickBot="1" x14ac:dyDescent="0.3">
      <c r="C26" s="886"/>
      <c r="D26" s="889"/>
      <c r="E26" s="851"/>
      <c r="F26" s="854"/>
      <c r="G26" s="834"/>
      <c r="H26" s="837"/>
      <c r="I26" s="869"/>
      <c r="J26" s="843"/>
      <c r="K26" s="872"/>
      <c r="L26" s="874"/>
      <c r="M26" s="812"/>
      <c r="N26" s="424" t="s">
        <v>578</v>
      </c>
      <c r="O26" s="38" t="s">
        <v>88</v>
      </c>
      <c r="P26" s="45" t="s">
        <v>579</v>
      </c>
      <c r="Q26" s="38" t="s">
        <v>360</v>
      </c>
      <c r="R26" s="35" t="s">
        <v>86</v>
      </c>
      <c r="S26" s="35" t="s">
        <v>77</v>
      </c>
      <c r="T26" s="78">
        <v>0.6</v>
      </c>
      <c r="U26" s="35">
        <v>0</v>
      </c>
      <c r="V26" s="50">
        <f t="shared" si="0"/>
        <v>0</v>
      </c>
      <c r="W26" s="35">
        <f>40.2%+T26</f>
        <v>1.002</v>
      </c>
      <c r="X26" s="35">
        <f>+U26</f>
        <v>0</v>
      </c>
      <c r="Y26" s="50">
        <f t="shared" si="1"/>
        <v>0</v>
      </c>
      <c r="Z26" s="257" t="s">
        <v>614</v>
      </c>
      <c r="AA26" s="254" t="s">
        <v>617</v>
      </c>
      <c r="AB26" s="11"/>
      <c r="AC26" s="11"/>
      <c r="AD26" s="11"/>
      <c r="AE26" s="1"/>
    </row>
    <row r="27" spans="3:33" ht="152.25" customHeight="1" thickBot="1" x14ac:dyDescent="0.3">
      <c r="C27" s="886"/>
      <c r="D27" s="889"/>
      <c r="E27" s="851"/>
      <c r="F27" s="854"/>
      <c r="G27" s="832">
        <v>303</v>
      </c>
      <c r="H27" s="835" t="s">
        <v>90</v>
      </c>
      <c r="I27" s="868">
        <v>0.3</v>
      </c>
      <c r="J27" s="841" t="s">
        <v>91</v>
      </c>
      <c r="K27" s="835" t="s">
        <v>289</v>
      </c>
      <c r="L27" s="844" t="s">
        <v>81</v>
      </c>
      <c r="M27" s="847">
        <v>1</v>
      </c>
      <c r="N27" s="976" t="s">
        <v>102</v>
      </c>
      <c r="O27" s="813" t="s">
        <v>93</v>
      </c>
      <c r="P27" s="44" t="s">
        <v>103</v>
      </c>
      <c r="Q27" s="33" t="s">
        <v>423</v>
      </c>
      <c r="R27" s="34" t="s">
        <v>95</v>
      </c>
      <c r="S27" s="34" t="s">
        <v>96</v>
      </c>
      <c r="T27" s="34">
        <v>0.7</v>
      </c>
      <c r="U27" s="79">
        <v>0.48259999999999997</v>
      </c>
      <c r="V27" s="50">
        <f t="shared" si="0"/>
        <v>0.68942857142857139</v>
      </c>
      <c r="W27" s="34">
        <v>0.7</v>
      </c>
      <c r="X27" s="79">
        <v>0.50170000000000003</v>
      </c>
      <c r="Y27" s="50">
        <f t="shared" si="1"/>
        <v>0.71671428571428586</v>
      </c>
      <c r="Z27" s="253" t="s">
        <v>660</v>
      </c>
      <c r="AA27" s="254" t="s">
        <v>661</v>
      </c>
      <c r="AB27" s="11"/>
      <c r="AC27" s="11"/>
      <c r="AD27" s="80" t="s">
        <v>299</v>
      </c>
      <c r="AE27" s="1"/>
    </row>
    <row r="28" spans="3:33" ht="156.75" customHeight="1" thickBot="1" x14ac:dyDescent="0.3">
      <c r="C28" s="886"/>
      <c r="D28" s="889"/>
      <c r="E28" s="851"/>
      <c r="F28" s="854"/>
      <c r="G28" s="833"/>
      <c r="H28" s="836"/>
      <c r="I28" s="875"/>
      <c r="J28" s="842"/>
      <c r="K28" s="836"/>
      <c r="L28" s="845"/>
      <c r="M28" s="848"/>
      <c r="N28" s="978"/>
      <c r="O28" s="815"/>
      <c r="P28" s="44" t="s">
        <v>558</v>
      </c>
      <c r="Q28" s="33" t="s">
        <v>353</v>
      </c>
      <c r="R28" s="34" t="s">
        <v>95</v>
      </c>
      <c r="S28" s="34" t="s">
        <v>96</v>
      </c>
      <c r="T28" s="34">
        <v>1</v>
      </c>
      <c r="U28" s="34">
        <v>1</v>
      </c>
      <c r="V28" s="105">
        <f t="shared" si="0"/>
        <v>1</v>
      </c>
      <c r="W28" s="34">
        <v>1</v>
      </c>
      <c r="X28" s="79">
        <v>0.90780000000000005</v>
      </c>
      <c r="Y28" s="50">
        <f t="shared" si="1"/>
        <v>0.90780000000000005</v>
      </c>
      <c r="Z28" s="253" t="s">
        <v>630</v>
      </c>
      <c r="AA28" s="254" t="s">
        <v>662</v>
      </c>
      <c r="AB28" s="11"/>
      <c r="AC28" s="11"/>
      <c r="AD28" s="12"/>
      <c r="AE28" s="318">
        <v>36767</v>
      </c>
      <c r="AF28" s="6">
        <v>23141</v>
      </c>
      <c r="AG28" s="319">
        <f>+AF28/AE28</f>
        <v>0.62939592569423664</v>
      </c>
    </row>
    <row r="29" spans="3:33" ht="143.25" customHeight="1" thickBot="1" x14ac:dyDescent="0.3">
      <c r="C29" s="886"/>
      <c r="D29" s="889"/>
      <c r="E29" s="851"/>
      <c r="F29" s="854"/>
      <c r="G29" s="833"/>
      <c r="H29" s="836"/>
      <c r="I29" s="875"/>
      <c r="J29" s="842"/>
      <c r="K29" s="836"/>
      <c r="L29" s="845"/>
      <c r="M29" s="848"/>
      <c r="N29" s="407" t="s">
        <v>146</v>
      </c>
      <c r="O29" s="33" t="s">
        <v>354</v>
      </c>
      <c r="P29" s="44" t="s">
        <v>148</v>
      </c>
      <c r="Q29" s="33" t="s">
        <v>100</v>
      </c>
      <c r="R29" s="34" t="s">
        <v>101</v>
      </c>
      <c r="S29" s="34" t="s">
        <v>42</v>
      </c>
      <c r="T29" s="36">
        <v>1</v>
      </c>
      <c r="U29" s="36">
        <v>1</v>
      </c>
      <c r="V29" s="50">
        <f t="shared" si="0"/>
        <v>1</v>
      </c>
      <c r="W29" s="36">
        <f>3+T29</f>
        <v>4</v>
      </c>
      <c r="X29" s="36">
        <f>1+U29</f>
        <v>2</v>
      </c>
      <c r="Y29" s="50">
        <f t="shared" si="1"/>
        <v>0.5</v>
      </c>
      <c r="Z29" s="248" t="s">
        <v>663</v>
      </c>
      <c r="AA29" s="254" t="s">
        <v>631</v>
      </c>
      <c r="AB29" s="11"/>
      <c r="AC29" s="11"/>
      <c r="AD29" s="12"/>
      <c r="AE29" s="1"/>
    </row>
    <row r="30" spans="3:33" ht="348.75" customHeight="1" thickBot="1" x14ac:dyDescent="0.3">
      <c r="C30" s="886"/>
      <c r="D30" s="889"/>
      <c r="E30" s="851"/>
      <c r="F30" s="854"/>
      <c r="G30" s="833"/>
      <c r="H30" s="836"/>
      <c r="I30" s="875"/>
      <c r="J30" s="842"/>
      <c r="K30" s="836"/>
      <c r="L30" s="845"/>
      <c r="M30" s="848"/>
      <c r="N30" s="535" t="s">
        <v>125</v>
      </c>
      <c r="O30" s="517" t="s">
        <v>355</v>
      </c>
      <c r="P30" s="44" t="s">
        <v>127</v>
      </c>
      <c r="Q30" s="33" t="s">
        <v>104</v>
      </c>
      <c r="R30" s="34" t="s">
        <v>105</v>
      </c>
      <c r="S30" s="34" t="s">
        <v>42</v>
      </c>
      <c r="T30" s="36">
        <v>16</v>
      </c>
      <c r="U30" s="36">
        <v>21</v>
      </c>
      <c r="V30" s="50">
        <f t="shared" si="0"/>
        <v>1.3125</v>
      </c>
      <c r="W30" s="36">
        <f>32+T30</f>
        <v>48</v>
      </c>
      <c r="X30" s="36">
        <f>28+U30</f>
        <v>49</v>
      </c>
      <c r="Y30" s="50">
        <f t="shared" si="1"/>
        <v>1.0208333333333333</v>
      </c>
      <c r="Z30" s="248" t="s">
        <v>643</v>
      </c>
      <c r="AA30" s="315" t="s">
        <v>632</v>
      </c>
      <c r="AB30" s="11"/>
      <c r="AC30" s="11"/>
      <c r="AD30" s="12"/>
      <c r="AE30" s="1"/>
    </row>
    <row r="31" spans="3:33" ht="179.25" hidden="1" customHeight="1" thickBot="1" x14ac:dyDescent="0.3">
      <c r="C31" s="886"/>
      <c r="D31" s="889"/>
      <c r="E31" s="851"/>
      <c r="F31" s="854"/>
      <c r="G31" s="834"/>
      <c r="H31" s="837"/>
      <c r="I31" s="869"/>
      <c r="J31" s="843"/>
      <c r="K31" s="837"/>
      <c r="L31" s="846"/>
      <c r="M31" s="849"/>
      <c r="N31" s="418" t="s">
        <v>326</v>
      </c>
      <c r="O31" s="419" t="s">
        <v>107</v>
      </c>
      <c r="P31" s="418" t="s">
        <v>327</v>
      </c>
      <c r="Q31" s="419" t="s">
        <v>109</v>
      </c>
      <c r="R31" s="420" t="s">
        <v>328</v>
      </c>
      <c r="S31" s="420" t="s">
        <v>42</v>
      </c>
      <c r="T31" s="421"/>
      <c r="U31" s="421"/>
      <c r="V31" s="422" t="e">
        <f>+U31/T31</f>
        <v>#DIV/0!</v>
      </c>
      <c r="W31" s="421">
        <v>5</v>
      </c>
      <c r="X31" s="421">
        <v>0</v>
      </c>
      <c r="Y31" s="422">
        <f t="shared" si="1"/>
        <v>0</v>
      </c>
      <c r="Z31" s="423" t="s">
        <v>472</v>
      </c>
      <c r="AA31" s="398" t="s">
        <v>293</v>
      </c>
      <c r="AB31" s="11"/>
      <c r="AC31" s="11"/>
      <c r="AD31" s="12"/>
      <c r="AE31" s="1"/>
    </row>
    <row r="32" spans="3:33" ht="203.25" customHeight="1" thickBot="1" x14ac:dyDescent="0.3">
      <c r="C32" s="886"/>
      <c r="D32" s="889"/>
      <c r="E32" s="851"/>
      <c r="F32" s="854"/>
      <c r="G32" s="832">
        <v>304</v>
      </c>
      <c r="H32" s="835" t="s">
        <v>110</v>
      </c>
      <c r="I32" s="838">
        <v>0.1</v>
      </c>
      <c r="J32" s="841" t="s">
        <v>111</v>
      </c>
      <c r="K32" s="835" t="s">
        <v>290</v>
      </c>
      <c r="L32" s="844" t="s">
        <v>81</v>
      </c>
      <c r="M32" s="847">
        <v>1</v>
      </c>
      <c r="N32" s="408" t="s">
        <v>112</v>
      </c>
      <c r="O32" s="33" t="s">
        <v>113</v>
      </c>
      <c r="P32" s="44" t="s">
        <v>114</v>
      </c>
      <c r="Q32" s="33" t="s">
        <v>115</v>
      </c>
      <c r="R32" s="34" t="s">
        <v>116</v>
      </c>
      <c r="S32" s="34" t="s">
        <v>42</v>
      </c>
      <c r="T32" s="36">
        <v>1</v>
      </c>
      <c r="U32" s="36">
        <v>1</v>
      </c>
      <c r="V32" s="50">
        <f t="shared" si="0"/>
        <v>1</v>
      </c>
      <c r="W32" s="36">
        <f>+T32</f>
        <v>1</v>
      </c>
      <c r="X32" s="36">
        <f>+U32</f>
        <v>1</v>
      </c>
      <c r="Y32" s="50">
        <f t="shared" si="1"/>
        <v>1</v>
      </c>
      <c r="Z32" s="248" t="s">
        <v>622</v>
      </c>
      <c r="AA32" s="254" t="s">
        <v>644</v>
      </c>
      <c r="AB32" s="11"/>
      <c r="AC32" s="11"/>
      <c r="AD32" s="12"/>
      <c r="AE32" s="1"/>
    </row>
    <row r="33" spans="3:33" ht="155.25" customHeight="1" thickBot="1" x14ac:dyDescent="0.3">
      <c r="C33" s="886"/>
      <c r="D33" s="889"/>
      <c r="E33" s="851"/>
      <c r="F33" s="854"/>
      <c r="G33" s="833"/>
      <c r="H33" s="836"/>
      <c r="I33" s="839"/>
      <c r="J33" s="842"/>
      <c r="K33" s="836"/>
      <c r="L33" s="845"/>
      <c r="M33" s="848"/>
      <c r="N33" s="976" t="s">
        <v>117</v>
      </c>
      <c r="O33" s="813" t="s">
        <v>118</v>
      </c>
      <c r="P33" s="44" t="s">
        <v>119</v>
      </c>
      <c r="Q33" s="33" t="s">
        <v>347</v>
      </c>
      <c r="R33" s="34" t="s">
        <v>348</v>
      </c>
      <c r="S33" s="34" t="s">
        <v>42</v>
      </c>
      <c r="T33" s="36">
        <v>0</v>
      </c>
      <c r="U33" s="36">
        <v>1</v>
      </c>
      <c r="V33" s="50">
        <v>1</v>
      </c>
      <c r="W33" s="36">
        <v>1</v>
      </c>
      <c r="X33" s="36">
        <f>+U33</f>
        <v>1</v>
      </c>
      <c r="Y33" s="50">
        <f t="shared" si="1"/>
        <v>1</v>
      </c>
      <c r="Z33" s="397" t="s">
        <v>665</v>
      </c>
      <c r="AA33" s="254" t="s">
        <v>623</v>
      </c>
      <c r="AB33" s="11"/>
      <c r="AC33" s="11"/>
      <c r="AD33" s="12"/>
      <c r="AE33" s="1"/>
    </row>
    <row r="34" spans="3:33" ht="249" customHeight="1" thickBot="1" x14ac:dyDescent="0.3">
      <c r="C34" s="887"/>
      <c r="D34" s="890"/>
      <c r="E34" s="852"/>
      <c r="F34" s="855"/>
      <c r="G34" s="834"/>
      <c r="H34" s="837"/>
      <c r="I34" s="840"/>
      <c r="J34" s="843"/>
      <c r="K34" s="837"/>
      <c r="L34" s="846"/>
      <c r="M34" s="849"/>
      <c r="N34" s="978"/>
      <c r="O34" s="815"/>
      <c r="P34" s="44" t="s">
        <v>120</v>
      </c>
      <c r="Q34" s="33" t="s">
        <v>121</v>
      </c>
      <c r="R34" s="34" t="s">
        <v>349</v>
      </c>
      <c r="S34" s="34" t="s">
        <v>42</v>
      </c>
      <c r="T34" s="36">
        <v>0</v>
      </c>
      <c r="U34" s="36">
        <v>1</v>
      </c>
      <c r="V34" s="357">
        <v>1</v>
      </c>
      <c r="W34" s="36">
        <v>2</v>
      </c>
      <c r="X34" s="36">
        <f>5+U34</f>
        <v>6</v>
      </c>
      <c r="Y34" s="357">
        <f t="shared" si="1"/>
        <v>3</v>
      </c>
      <c r="Z34" s="397" t="s">
        <v>624</v>
      </c>
      <c r="AA34" s="529" t="s">
        <v>645</v>
      </c>
      <c r="AB34" s="11"/>
      <c r="AC34" s="11"/>
      <c r="AD34" s="12"/>
      <c r="AE34" s="1"/>
    </row>
    <row r="35" spans="3:33" ht="121.5" customHeight="1" thickBot="1" x14ac:dyDescent="0.3">
      <c r="C35" s="885" t="s">
        <v>18</v>
      </c>
      <c r="D35" s="888" t="s">
        <v>19</v>
      </c>
      <c r="E35" s="850">
        <v>3</v>
      </c>
      <c r="F35" s="853" t="s">
        <v>70</v>
      </c>
      <c r="G35" s="833">
        <v>305</v>
      </c>
      <c r="H35" s="836" t="s">
        <v>122</v>
      </c>
      <c r="I35" s="839">
        <v>0.1</v>
      </c>
      <c r="J35" s="504" t="s">
        <v>123</v>
      </c>
      <c r="K35" s="508" t="s">
        <v>124</v>
      </c>
      <c r="L35" s="513" t="s">
        <v>81</v>
      </c>
      <c r="M35" s="516">
        <v>0.3</v>
      </c>
      <c r="N35" s="977" t="s">
        <v>261</v>
      </c>
      <c r="O35" s="814" t="s">
        <v>126</v>
      </c>
      <c r="P35" s="516" t="s">
        <v>263</v>
      </c>
      <c r="Q35" s="517" t="s">
        <v>356</v>
      </c>
      <c r="R35" s="518" t="s">
        <v>128</v>
      </c>
      <c r="S35" s="518" t="s">
        <v>42</v>
      </c>
      <c r="T35" s="520">
        <v>4</v>
      </c>
      <c r="U35" s="520">
        <v>0</v>
      </c>
      <c r="V35" s="354">
        <v>1</v>
      </c>
      <c r="W35" s="520">
        <f>4+T35</f>
        <v>8</v>
      </c>
      <c r="X35" s="520">
        <f>3+U35</f>
        <v>3</v>
      </c>
      <c r="Y35" s="354">
        <f t="shared" si="1"/>
        <v>0.375</v>
      </c>
      <c r="Z35" s="530" t="s">
        <v>633</v>
      </c>
      <c r="AA35" s="532" t="s">
        <v>292</v>
      </c>
      <c r="AB35" s="11"/>
      <c r="AC35" s="11"/>
      <c r="AD35" s="12"/>
      <c r="AE35" s="1"/>
    </row>
    <row r="36" spans="3:33" ht="228.75" customHeight="1" thickBot="1" x14ac:dyDescent="0.3">
      <c r="C36" s="886"/>
      <c r="D36" s="889"/>
      <c r="E36" s="851"/>
      <c r="F36" s="854"/>
      <c r="G36" s="833"/>
      <c r="H36" s="836"/>
      <c r="I36" s="839"/>
      <c r="J36" s="503" t="s">
        <v>129</v>
      </c>
      <c r="K36" s="507" t="s">
        <v>130</v>
      </c>
      <c r="L36" s="512" t="s">
        <v>81</v>
      </c>
      <c r="M36" s="514">
        <v>0.2</v>
      </c>
      <c r="N36" s="977"/>
      <c r="O36" s="814"/>
      <c r="P36" s="44" t="s">
        <v>559</v>
      </c>
      <c r="Q36" s="33" t="s">
        <v>132</v>
      </c>
      <c r="R36" s="34" t="s">
        <v>133</v>
      </c>
      <c r="S36" s="34" t="s">
        <v>42</v>
      </c>
      <c r="T36" s="36">
        <v>12</v>
      </c>
      <c r="U36" s="36">
        <v>4</v>
      </c>
      <c r="V36" s="50">
        <f t="shared" si="0"/>
        <v>0.33333333333333331</v>
      </c>
      <c r="W36" s="36">
        <f>21+T36</f>
        <v>33</v>
      </c>
      <c r="X36" s="36">
        <f>9+U36</f>
        <v>13</v>
      </c>
      <c r="Y36" s="50">
        <f t="shared" si="1"/>
        <v>0.39393939393939392</v>
      </c>
      <c r="Z36" s="248" t="s">
        <v>634</v>
      </c>
      <c r="AA36" s="249" t="s">
        <v>292</v>
      </c>
      <c r="AB36" s="11"/>
      <c r="AC36" s="11"/>
      <c r="AD36" s="12"/>
      <c r="AE36" s="1"/>
    </row>
    <row r="37" spans="3:33" ht="133.5" customHeight="1" x14ac:dyDescent="0.25">
      <c r="C37" s="886"/>
      <c r="D37" s="889"/>
      <c r="E37" s="851"/>
      <c r="F37" s="854"/>
      <c r="G37" s="833"/>
      <c r="H37" s="836"/>
      <c r="I37" s="839"/>
      <c r="J37" s="841" t="s">
        <v>134</v>
      </c>
      <c r="K37" s="934" t="s">
        <v>135</v>
      </c>
      <c r="L37" s="844" t="s">
        <v>81</v>
      </c>
      <c r="M37" s="847">
        <v>0.2</v>
      </c>
      <c r="N37" s="977"/>
      <c r="O37" s="814"/>
      <c r="P37" s="847" t="s">
        <v>560</v>
      </c>
      <c r="Q37" s="858" t="s">
        <v>137</v>
      </c>
      <c r="R37" s="858" t="s">
        <v>137</v>
      </c>
      <c r="S37" s="858" t="s">
        <v>42</v>
      </c>
      <c r="T37" s="865">
        <v>118</v>
      </c>
      <c r="U37" s="865">
        <v>20</v>
      </c>
      <c r="V37" s="769">
        <f>+U37/T37</f>
        <v>0.16949152542372881</v>
      </c>
      <c r="W37" s="865">
        <f>182+T37</f>
        <v>300</v>
      </c>
      <c r="X37" s="865">
        <f>48+U37</f>
        <v>68</v>
      </c>
      <c r="Y37" s="769">
        <f t="shared" si="1"/>
        <v>0.22666666666666666</v>
      </c>
      <c r="Z37" s="524" t="s">
        <v>635</v>
      </c>
      <c r="AA37" s="528" t="s">
        <v>646</v>
      </c>
      <c r="AB37" s="11"/>
      <c r="AC37" s="11"/>
      <c r="AD37" s="12"/>
      <c r="AE37" s="1"/>
    </row>
    <row r="38" spans="3:33" ht="15" customHeight="1" thickBot="1" x14ac:dyDescent="0.3">
      <c r="C38" s="886"/>
      <c r="D38" s="889"/>
      <c r="E38" s="851"/>
      <c r="F38" s="854"/>
      <c r="G38" s="833"/>
      <c r="H38" s="836"/>
      <c r="I38" s="839"/>
      <c r="J38" s="843"/>
      <c r="K38" s="935"/>
      <c r="L38" s="846"/>
      <c r="M38" s="849"/>
      <c r="N38" s="978"/>
      <c r="O38" s="815"/>
      <c r="P38" s="849"/>
      <c r="Q38" s="860"/>
      <c r="R38" s="860"/>
      <c r="S38" s="860"/>
      <c r="T38" s="867"/>
      <c r="U38" s="867"/>
      <c r="V38" s="770"/>
      <c r="W38" s="867"/>
      <c r="X38" s="867"/>
      <c r="Y38" s="770"/>
      <c r="Z38" s="399"/>
      <c r="AA38" s="400"/>
      <c r="AB38" s="11"/>
      <c r="AC38" s="11"/>
      <c r="AD38" s="12"/>
      <c r="AE38" s="1"/>
    </row>
    <row r="39" spans="3:33" ht="310.5" customHeight="1" thickBot="1" x14ac:dyDescent="0.3">
      <c r="C39" s="886"/>
      <c r="D39" s="889"/>
      <c r="E39" s="851"/>
      <c r="F39" s="854"/>
      <c r="G39" s="834"/>
      <c r="H39" s="837"/>
      <c r="I39" s="840"/>
      <c r="J39" s="14" t="s">
        <v>138</v>
      </c>
      <c r="K39" s="507" t="s">
        <v>139</v>
      </c>
      <c r="L39" s="72" t="s">
        <v>81</v>
      </c>
      <c r="M39" s="514">
        <v>0.3</v>
      </c>
      <c r="N39" s="535" t="s">
        <v>198</v>
      </c>
      <c r="O39" s="517" t="s">
        <v>141</v>
      </c>
      <c r="P39" s="515" t="s">
        <v>200</v>
      </c>
      <c r="Q39" s="33" t="s">
        <v>357</v>
      </c>
      <c r="R39" s="34" t="s">
        <v>143</v>
      </c>
      <c r="S39" s="34" t="s">
        <v>42</v>
      </c>
      <c r="T39" s="36">
        <v>1</v>
      </c>
      <c r="U39" s="36">
        <v>2</v>
      </c>
      <c r="V39" s="50">
        <f t="shared" si="0"/>
        <v>2</v>
      </c>
      <c r="W39" s="36">
        <f>1+T39</f>
        <v>2</v>
      </c>
      <c r="X39" s="36">
        <f>+U39</f>
        <v>2</v>
      </c>
      <c r="Y39" s="50">
        <f t="shared" si="1"/>
        <v>1</v>
      </c>
      <c r="Z39" s="248" t="s">
        <v>647</v>
      </c>
      <c r="AA39" s="254" t="s">
        <v>636</v>
      </c>
      <c r="AB39" s="11"/>
      <c r="AC39" s="11"/>
      <c r="AD39" s="12"/>
      <c r="AE39" s="1"/>
    </row>
    <row r="40" spans="3:33" ht="62.25" customHeight="1" thickBot="1" x14ac:dyDescent="0.3">
      <c r="C40" s="886"/>
      <c r="D40" s="889"/>
      <c r="E40" s="851"/>
      <c r="F40" s="854"/>
      <c r="G40" s="832">
        <v>306</v>
      </c>
      <c r="H40" s="835" t="s">
        <v>284</v>
      </c>
      <c r="I40" s="838">
        <v>0.05</v>
      </c>
      <c r="J40" s="503" t="s">
        <v>144</v>
      </c>
      <c r="K40" s="507" t="s">
        <v>145</v>
      </c>
      <c r="L40" s="72" t="s">
        <v>81</v>
      </c>
      <c r="M40" s="514">
        <v>0.35</v>
      </c>
      <c r="N40" s="976" t="s">
        <v>140</v>
      </c>
      <c r="O40" s="813" t="s">
        <v>147</v>
      </c>
      <c r="P40" s="847" t="s">
        <v>142</v>
      </c>
      <c r="Q40" s="813" t="s">
        <v>149</v>
      </c>
      <c r="R40" s="858" t="s">
        <v>150</v>
      </c>
      <c r="S40" s="858" t="s">
        <v>42</v>
      </c>
      <c r="T40" s="865">
        <v>0</v>
      </c>
      <c r="U40" s="865">
        <v>0</v>
      </c>
      <c r="V40" s="769" t="e">
        <f t="shared" si="0"/>
        <v>#DIV/0!</v>
      </c>
      <c r="W40" s="865">
        <v>2</v>
      </c>
      <c r="X40" s="865">
        <f>+U40</f>
        <v>0</v>
      </c>
      <c r="Y40" s="769">
        <f t="shared" si="1"/>
        <v>0</v>
      </c>
      <c r="Z40" s="830" t="s">
        <v>648</v>
      </c>
      <c r="AA40" s="928" t="s">
        <v>523</v>
      </c>
      <c r="AB40" s="11"/>
      <c r="AC40" s="11"/>
      <c r="AD40" s="12"/>
      <c r="AE40" s="1"/>
    </row>
    <row r="41" spans="3:33" ht="64.5" customHeight="1" thickBot="1" x14ac:dyDescent="0.3">
      <c r="C41" s="886"/>
      <c r="D41" s="889"/>
      <c r="E41" s="851"/>
      <c r="F41" s="854"/>
      <c r="G41" s="833"/>
      <c r="H41" s="836"/>
      <c r="I41" s="839"/>
      <c r="J41" s="14" t="s">
        <v>151</v>
      </c>
      <c r="K41" s="47" t="s">
        <v>152</v>
      </c>
      <c r="L41" s="72" t="s">
        <v>81</v>
      </c>
      <c r="M41" s="44">
        <v>0.35</v>
      </c>
      <c r="N41" s="977"/>
      <c r="O41" s="814"/>
      <c r="P41" s="848"/>
      <c r="Q41" s="814"/>
      <c r="R41" s="859"/>
      <c r="S41" s="859"/>
      <c r="T41" s="866"/>
      <c r="U41" s="866"/>
      <c r="V41" s="779"/>
      <c r="W41" s="866"/>
      <c r="X41" s="866"/>
      <c r="Y41" s="779"/>
      <c r="Z41" s="933"/>
      <c r="AA41" s="928"/>
      <c r="AB41" s="11"/>
      <c r="AC41" s="11"/>
      <c r="AD41" s="12"/>
      <c r="AE41" s="1"/>
    </row>
    <row r="42" spans="3:33" ht="98.25" customHeight="1" thickBot="1" x14ac:dyDescent="0.3">
      <c r="C42" s="886"/>
      <c r="D42" s="889"/>
      <c r="E42" s="851"/>
      <c r="F42" s="854"/>
      <c r="G42" s="834"/>
      <c r="H42" s="837"/>
      <c r="I42" s="840"/>
      <c r="J42" s="505" t="s">
        <v>153</v>
      </c>
      <c r="K42" s="509" t="s">
        <v>154</v>
      </c>
      <c r="L42" s="513" t="s">
        <v>81</v>
      </c>
      <c r="M42" s="515">
        <v>0.3</v>
      </c>
      <c r="N42" s="978"/>
      <c r="O42" s="815"/>
      <c r="P42" s="849"/>
      <c r="Q42" s="815"/>
      <c r="R42" s="860"/>
      <c r="S42" s="860"/>
      <c r="T42" s="867"/>
      <c r="U42" s="867"/>
      <c r="V42" s="770"/>
      <c r="W42" s="867"/>
      <c r="X42" s="867"/>
      <c r="Y42" s="770"/>
      <c r="Z42" s="831"/>
      <c r="AA42" s="929"/>
      <c r="AB42" s="11"/>
      <c r="AC42" s="11"/>
      <c r="AD42" s="12"/>
      <c r="AE42" s="1"/>
    </row>
    <row r="43" spans="3:33" ht="288.75" customHeight="1" thickBot="1" x14ac:dyDescent="0.3">
      <c r="C43" s="886"/>
      <c r="D43" s="889"/>
      <c r="E43" s="851"/>
      <c r="F43" s="854"/>
      <c r="G43" s="95">
        <v>307</v>
      </c>
      <c r="H43" s="507" t="s">
        <v>285</v>
      </c>
      <c r="I43" s="522">
        <v>0.1</v>
      </c>
      <c r="J43" s="102" t="s">
        <v>155</v>
      </c>
      <c r="K43" s="103" t="s">
        <v>156</v>
      </c>
      <c r="L43" s="104" t="s">
        <v>81</v>
      </c>
      <c r="M43" s="101">
        <v>0.5</v>
      </c>
      <c r="N43" s="408" t="s">
        <v>92</v>
      </c>
      <c r="O43" s="33" t="s">
        <v>346</v>
      </c>
      <c r="P43" s="45" t="s">
        <v>94</v>
      </c>
      <c r="Q43" s="33" t="s">
        <v>162</v>
      </c>
      <c r="R43" s="34" t="s">
        <v>163</v>
      </c>
      <c r="S43" s="34" t="s">
        <v>164</v>
      </c>
      <c r="T43" s="90">
        <v>0.29399999999999998</v>
      </c>
      <c r="U43" s="39">
        <v>0.2</v>
      </c>
      <c r="V43" s="105">
        <f t="shared" si="0"/>
        <v>0.6802721088435375</v>
      </c>
      <c r="W43" s="89">
        <f>70.6%+T43</f>
        <v>1</v>
      </c>
      <c r="X43" s="90">
        <f>74.6%+U43</f>
        <v>0.94599999999999995</v>
      </c>
      <c r="Y43" s="50">
        <f t="shared" si="1"/>
        <v>0.94599999999999995</v>
      </c>
      <c r="Z43" s="248" t="s">
        <v>627</v>
      </c>
      <c r="AA43" s="401"/>
      <c r="AB43" s="11"/>
      <c r="AC43" s="11"/>
      <c r="AD43" s="12"/>
      <c r="AE43" s="1"/>
    </row>
    <row r="44" spans="3:33" ht="114.75" customHeight="1" thickBot="1" x14ac:dyDescent="0.3">
      <c r="C44" s="886" t="s">
        <v>18</v>
      </c>
      <c r="D44" s="889" t="s">
        <v>19</v>
      </c>
      <c r="E44" s="851">
        <v>3</v>
      </c>
      <c r="F44" s="854" t="s">
        <v>70</v>
      </c>
      <c r="G44" s="833">
        <v>307</v>
      </c>
      <c r="H44" s="836" t="s">
        <v>542</v>
      </c>
      <c r="I44" s="358"/>
      <c r="J44" s="841" t="s">
        <v>165</v>
      </c>
      <c r="K44" s="835" t="s">
        <v>291</v>
      </c>
      <c r="L44" s="844" t="s">
        <v>81</v>
      </c>
      <c r="M44" s="847">
        <v>0.5</v>
      </c>
      <c r="N44" s="535" t="s">
        <v>55</v>
      </c>
      <c r="O44" s="517" t="s">
        <v>344</v>
      </c>
      <c r="P44" s="44" t="s">
        <v>57</v>
      </c>
      <c r="Q44" s="33" t="s">
        <v>345</v>
      </c>
      <c r="R44" s="34" t="s">
        <v>159</v>
      </c>
      <c r="S44" s="34" t="s">
        <v>42</v>
      </c>
      <c r="T44" s="36">
        <v>1</v>
      </c>
      <c r="U44" s="36">
        <v>0</v>
      </c>
      <c r="V44" s="50">
        <f>+U44/T44</f>
        <v>0</v>
      </c>
      <c r="W44" s="40">
        <f>+T44</f>
        <v>1</v>
      </c>
      <c r="X44" s="40">
        <v>1</v>
      </c>
      <c r="Y44" s="50">
        <v>1</v>
      </c>
      <c r="Z44" s="253" t="s">
        <v>649</v>
      </c>
      <c r="AA44" s="249" t="s">
        <v>294</v>
      </c>
      <c r="AB44" s="11"/>
      <c r="AC44" s="11"/>
      <c r="AD44" s="12"/>
      <c r="AE44" s="1"/>
    </row>
    <row r="45" spans="3:33" ht="219" customHeight="1" thickBot="1" x14ac:dyDescent="0.3">
      <c r="C45" s="886"/>
      <c r="D45" s="889"/>
      <c r="E45" s="851"/>
      <c r="F45" s="854"/>
      <c r="G45" s="833"/>
      <c r="H45" s="836"/>
      <c r="I45" s="358"/>
      <c r="J45" s="842"/>
      <c r="K45" s="836"/>
      <c r="L45" s="845"/>
      <c r="M45" s="848"/>
      <c r="N45" s="976" t="s">
        <v>166</v>
      </c>
      <c r="O45" s="813" t="s">
        <v>167</v>
      </c>
      <c r="P45" s="44" t="s">
        <v>168</v>
      </c>
      <c r="Q45" s="33" t="s">
        <v>350</v>
      </c>
      <c r="R45" s="34" t="s">
        <v>169</v>
      </c>
      <c r="S45" s="34" t="s">
        <v>42</v>
      </c>
      <c r="T45" s="36">
        <v>0</v>
      </c>
      <c r="U45" s="36">
        <v>2</v>
      </c>
      <c r="V45" s="50">
        <v>1</v>
      </c>
      <c r="W45" s="36">
        <v>1</v>
      </c>
      <c r="X45" s="36">
        <f>+U45</f>
        <v>2</v>
      </c>
      <c r="Y45" s="50">
        <f t="shared" si="1"/>
        <v>2</v>
      </c>
      <c r="Z45" s="248" t="s">
        <v>625</v>
      </c>
      <c r="AA45" s="533" t="s">
        <v>294</v>
      </c>
      <c r="AB45" s="11"/>
      <c r="AC45" s="11"/>
      <c r="AD45" s="12"/>
      <c r="AE45" s="1"/>
    </row>
    <row r="46" spans="3:33" ht="188.25" customHeight="1" thickBot="1" x14ac:dyDescent="0.3">
      <c r="C46" s="886"/>
      <c r="D46" s="889"/>
      <c r="E46" s="851"/>
      <c r="F46" s="854"/>
      <c r="G46" s="834"/>
      <c r="H46" s="837"/>
      <c r="I46" s="359"/>
      <c r="J46" s="843"/>
      <c r="K46" s="837"/>
      <c r="L46" s="846"/>
      <c r="M46" s="849"/>
      <c r="N46" s="978"/>
      <c r="O46" s="815"/>
      <c r="P46" s="44" t="s">
        <v>170</v>
      </c>
      <c r="Q46" s="33" t="s">
        <v>171</v>
      </c>
      <c r="R46" s="34" t="s">
        <v>169</v>
      </c>
      <c r="S46" s="34" t="s">
        <v>42</v>
      </c>
      <c r="T46" s="36">
        <v>0</v>
      </c>
      <c r="U46" s="36">
        <v>2</v>
      </c>
      <c r="V46" s="50">
        <v>1</v>
      </c>
      <c r="W46" s="36">
        <v>1</v>
      </c>
      <c r="X46" s="36">
        <f>1+U46</f>
        <v>3</v>
      </c>
      <c r="Y46" s="50">
        <f t="shared" si="1"/>
        <v>3</v>
      </c>
      <c r="Z46" s="525" t="s">
        <v>626</v>
      </c>
      <c r="AA46" s="533" t="s">
        <v>292</v>
      </c>
      <c r="AB46" s="11"/>
      <c r="AC46" s="11"/>
      <c r="AD46" s="12"/>
      <c r="AE46" s="1"/>
    </row>
    <row r="47" spans="3:33" ht="208.5" customHeight="1" thickBot="1" x14ac:dyDescent="0.3">
      <c r="C47" s="886"/>
      <c r="D47" s="889"/>
      <c r="E47" s="851"/>
      <c r="F47" s="854"/>
      <c r="G47" s="832">
        <v>308</v>
      </c>
      <c r="H47" s="835" t="s">
        <v>172</v>
      </c>
      <c r="I47" s="838">
        <v>0.1</v>
      </c>
      <c r="J47" s="503" t="s">
        <v>173</v>
      </c>
      <c r="K47" s="507" t="s">
        <v>174</v>
      </c>
      <c r="L47" s="512" t="s">
        <v>81</v>
      </c>
      <c r="M47" s="514">
        <v>0.5</v>
      </c>
      <c r="N47" s="810" t="s">
        <v>582</v>
      </c>
      <c r="O47" s="813" t="s">
        <v>312</v>
      </c>
      <c r="P47" s="44" t="s">
        <v>567</v>
      </c>
      <c r="Q47" s="33" t="s">
        <v>316</v>
      </c>
      <c r="R47" s="34" t="s">
        <v>314</v>
      </c>
      <c r="S47" s="34" t="s">
        <v>164</v>
      </c>
      <c r="T47" s="88">
        <v>0</v>
      </c>
      <c r="U47" s="88">
        <v>0.6</v>
      </c>
      <c r="V47" s="50" t="e">
        <f t="shared" si="0"/>
        <v>#DIV/0!</v>
      </c>
      <c r="W47" s="90">
        <v>1</v>
      </c>
      <c r="X47" s="90">
        <f>14%+U47</f>
        <v>0.74</v>
      </c>
      <c r="Y47" s="50">
        <f t="shared" si="1"/>
        <v>0.74</v>
      </c>
      <c r="Z47" s="253" t="s">
        <v>601</v>
      </c>
      <c r="AA47" s="254" t="s">
        <v>602</v>
      </c>
      <c r="AB47" s="11"/>
      <c r="AC47" s="11"/>
      <c r="AD47" s="13"/>
      <c r="AE47" s="1"/>
      <c r="AF47" s="77"/>
      <c r="AG47" s="77"/>
    </row>
    <row r="48" spans="3:33" ht="138" customHeight="1" thickBot="1" x14ac:dyDescent="0.3">
      <c r="C48" s="886"/>
      <c r="D48" s="889"/>
      <c r="E48" s="851"/>
      <c r="F48" s="854"/>
      <c r="G48" s="833"/>
      <c r="H48" s="836"/>
      <c r="I48" s="839"/>
      <c r="J48" s="841" t="s">
        <v>177</v>
      </c>
      <c r="K48" s="835" t="s">
        <v>178</v>
      </c>
      <c r="L48" s="844" t="s">
        <v>81</v>
      </c>
      <c r="M48" s="847">
        <v>0.5</v>
      </c>
      <c r="N48" s="811"/>
      <c r="O48" s="814"/>
      <c r="P48" s="44" t="s">
        <v>566</v>
      </c>
      <c r="Q48" s="33" t="s">
        <v>313</v>
      </c>
      <c r="R48" s="34" t="s">
        <v>314</v>
      </c>
      <c r="S48" s="34" t="s">
        <v>164</v>
      </c>
      <c r="T48" s="89">
        <v>0</v>
      </c>
      <c r="U48" s="89">
        <v>0</v>
      </c>
      <c r="V48" s="50" t="e">
        <f t="shared" si="0"/>
        <v>#DIV/0!</v>
      </c>
      <c r="W48" s="39">
        <v>1</v>
      </c>
      <c r="X48" s="39">
        <v>1</v>
      </c>
      <c r="Y48" s="50">
        <f t="shared" si="1"/>
        <v>1</v>
      </c>
      <c r="Z48" s="248" t="s">
        <v>469</v>
      </c>
      <c r="AA48" s="249" t="s">
        <v>292</v>
      </c>
      <c r="AB48" s="11"/>
      <c r="AC48" s="11"/>
      <c r="AD48" s="13"/>
      <c r="AE48" s="1"/>
    </row>
    <row r="49" spans="3:31" ht="141.75" customHeight="1" thickBot="1" x14ac:dyDescent="0.3">
      <c r="C49" s="886"/>
      <c r="D49" s="889"/>
      <c r="E49" s="851"/>
      <c r="F49" s="854"/>
      <c r="G49" s="833"/>
      <c r="H49" s="836"/>
      <c r="I49" s="839"/>
      <c r="J49" s="842"/>
      <c r="K49" s="836"/>
      <c r="L49" s="845"/>
      <c r="M49" s="848"/>
      <c r="N49" s="811"/>
      <c r="O49" s="814"/>
      <c r="P49" s="44" t="s">
        <v>565</v>
      </c>
      <c r="Q49" s="33" t="s">
        <v>315</v>
      </c>
      <c r="R49" s="34" t="s">
        <v>314</v>
      </c>
      <c r="S49" s="34" t="s">
        <v>164</v>
      </c>
      <c r="T49" s="34">
        <v>0</v>
      </c>
      <c r="U49" s="88">
        <v>0</v>
      </c>
      <c r="V49" s="50" t="e">
        <f t="shared" si="0"/>
        <v>#DIV/0!</v>
      </c>
      <c r="W49" s="34">
        <v>1</v>
      </c>
      <c r="X49" s="34">
        <v>1</v>
      </c>
      <c r="Y49" s="50">
        <f t="shared" si="1"/>
        <v>1</v>
      </c>
      <c r="Z49" s="525" t="s">
        <v>469</v>
      </c>
      <c r="AA49" s="533" t="s">
        <v>292</v>
      </c>
      <c r="AB49" s="11"/>
      <c r="AC49" s="11"/>
      <c r="AD49" s="12"/>
      <c r="AE49" s="1"/>
    </row>
    <row r="50" spans="3:31" ht="155.25" customHeight="1" thickBot="1" x14ac:dyDescent="0.3">
      <c r="C50" s="886"/>
      <c r="D50" s="889"/>
      <c r="E50" s="851"/>
      <c r="F50" s="854"/>
      <c r="G50" s="833"/>
      <c r="H50" s="836"/>
      <c r="I50" s="839"/>
      <c r="J50" s="842"/>
      <c r="K50" s="836"/>
      <c r="L50" s="845"/>
      <c r="M50" s="848"/>
      <c r="N50" s="811"/>
      <c r="O50" s="814"/>
      <c r="P50" s="44" t="s">
        <v>568</v>
      </c>
      <c r="Q50" s="517" t="s">
        <v>181</v>
      </c>
      <c r="R50" s="518" t="s">
        <v>317</v>
      </c>
      <c r="S50" s="518" t="s">
        <v>182</v>
      </c>
      <c r="T50" s="518">
        <v>1</v>
      </c>
      <c r="U50" s="518">
        <v>1</v>
      </c>
      <c r="V50" s="50">
        <f>+U50/T50</f>
        <v>1</v>
      </c>
      <c r="W50" s="518">
        <v>1</v>
      </c>
      <c r="X50" s="518">
        <v>1</v>
      </c>
      <c r="Y50" s="50">
        <f>+X50/W50</f>
        <v>1</v>
      </c>
      <c r="Z50" s="526" t="s">
        <v>381</v>
      </c>
      <c r="AA50" s="533" t="s">
        <v>366</v>
      </c>
      <c r="AB50" s="11"/>
      <c r="AC50" s="11"/>
      <c r="AD50" s="12"/>
      <c r="AE50" s="1"/>
    </row>
    <row r="51" spans="3:31" ht="155.25" customHeight="1" thickBot="1" x14ac:dyDescent="0.3">
      <c r="C51" s="886"/>
      <c r="D51" s="889"/>
      <c r="E51" s="851"/>
      <c r="F51" s="854"/>
      <c r="G51" s="833"/>
      <c r="H51" s="836"/>
      <c r="I51" s="839"/>
      <c r="J51" s="842"/>
      <c r="K51" s="836"/>
      <c r="L51" s="845"/>
      <c r="M51" s="848"/>
      <c r="N51" s="812"/>
      <c r="O51" s="815"/>
      <c r="P51" s="515" t="s">
        <v>569</v>
      </c>
      <c r="Q51" s="517" t="s">
        <v>184</v>
      </c>
      <c r="R51" s="518" t="s">
        <v>319</v>
      </c>
      <c r="S51" s="518" t="s">
        <v>182</v>
      </c>
      <c r="T51" s="518">
        <v>1</v>
      </c>
      <c r="U51" s="518">
        <v>1</v>
      </c>
      <c r="V51" s="50">
        <f>+U51/T51</f>
        <v>1</v>
      </c>
      <c r="W51" s="518">
        <v>1</v>
      </c>
      <c r="X51" s="518">
        <v>1</v>
      </c>
      <c r="Y51" s="50">
        <f>+X51/W51</f>
        <v>1</v>
      </c>
      <c r="Z51" s="526" t="s">
        <v>470</v>
      </c>
      <c r="AA51" s="533" t="s">
        <v>292</v>
      </c>
      <c r="AB51" s="11"/>
      <c r="AC51" s="11"/>
      <c r="AD51" s="12"/>
      <c r="AE51" s="1"/>
    </row>
    <row r="52" spans="3:31" ht="144" customHeight="1" thickBot="1" x14ac:dyDescent="0.3">
      <c r="C52" s="886"/>
      <c r="D52" s="889"/>
      <c r="E52" s="851"/>
      <c r="F52" s="854"/>
      <c r="G52" s="833"/>
      <c r="H52" s="836"/>
      <c r="I52" s="839"/>
      <c r="J52" s="842"/>
      <c r="K52" s="836"/>
      <c r="L52" s="845"/>
      <c r="M52" s="848"/>
      <c r="N52" s="521" t="s">
        <v>570</v>
      </c>
      <c r="O52" s="517" t="s">
        <v>186</v>
      </c>
      <c r="P52" s="515" t="s">
        <v>571</v>
      </c>
      <c r="Q52" s="517" t="s">
        <v>320</v>
      </c>
      <c r="R52" s="518" t="s">
        <v>314</v>
      </c>
      <c r="S52" s="518" t="s">
        <v>164</v>
      </c>
      <c r="T52" s="538">
        <v>0</v>
      </c>
      <c r="U52" s="538">
        <v>0</v>
      </c>
      <c r="V52" s="50" t="e">
        <f>+U52/T52</f>
        <v>#DIV/0!</v>
      </c>
      <c r="W52" s="537">
        <v>1</v>
      </c>
      <c r="X52" s="537">
        <v>1</v>
      </c>
      <c r="Y52" s="50">
        <f t="shared" si="1"/>
        <v>1</v>
      </c>
      <c r="Z52" s="525" t="s">
        <v>603</v>
      </c>
      <c r="AA52" s="533" t="s">
        <v>294</v>
      </c>
      <c r="AB52" s="11"/>
      <c r="AC52" s="11"/>
      <c r="AD52" s="12"/>
      <c r="AE52" s="1"/>
    </row>
    <row r="53" spans="3:31" ht="261.75" customHeight="1" thickBot="1" x14ac:dyDescent="0.3">
      <c r="C53" s="886"/>
      <c r="D53" s="889"/>
      <c r="E53" s="851"/>
      <c r="F53" s="854"/>
      <c r="G53" s="833"/>
      <c r="H53" s="836"/>
      <c r="I53" s="839"/>
      <c r="J53" s="842"/>
      <c r="K53" s="836"/>
      <c r="L53" s="845"/>
      <c r="M53" s="848"/>
      <c r="N53" s="45" t="s">
        <v>572</v>
      </c>
      <c r="O53" s="33" t="s">
        <v>321</v>
      </c>
      <c r="P53" s="44" t="s">
        <v>573</v>
      </c>
      <c r="Q53" s="33" t="s">
        <v>378</v>
      </c>
      <c r="R53" s="34" t="s">
        <v>314</v>
      </c>
      <c r="S53" s="34" t="s">
        <v>164</v>
      </c>
      <c r="T53" s="39">
        <v>0</v>
      </c>
      <c r="U53" s="39">
        <v>0</v>
      </c>
      <c r="V53" s="50" t="e">
        <f t="shared" si="0"/>
        <v>#DIV/0!</v>
      </c>
      <c r="W53" s="89">
        <v>1</v>
      </c>
      <c r="X53" s="89">
        <f>0%+U53</f>
        <v>0</v>
      </c>
      <c r="Y53" s="50">
        <f t="shared" si="1"/>
        <v>0</v>
      </c>
      <c r="Z53" s="248" t="s">
        <v>605</v>
      </c>
      <c r="AA53" s="254" t="s">
        <v>604</v>
      </c>
      <c r="AB53" s="11"/>
      <c r="AC53" s="11"/>
      <c r="AD53" s="12"/>
      <c r="AE53" s="1"/>
    </row>
    <row r="54" spans="3:31" ht="336.75" customHeight="1" thickBot="1" x14ac:dyDescent="0.3">
      <c r="C54" s="887"/>
      <c r="D54" s="890"/>
      <c r="E54" s="852"/>
      <c r="F54" s="855"/>
      <c r="G54" s="834"/>
      <c r="H54" s="837"/>
      <c r="I54" s="840"/>
      <c r="J54" s="843"/>
      <c r="K54" s="837"/>
      <c r="L54" s="846"/>
      <c r="M54" s="849"/>
      <c r="N54" s="45" t="s">
        <v>574</v>
      </c>
      <c r="O54" s="33" t="s">
        <v>322</v>
      </c>
      <c r="P54" s="44" t="s">
        <v>575</v>
      </c>
      <c r="Q54" s="33" t="s">
        <v>442</v>
      </c>
      <c r="R54" s="34" t="s">
        <v>314</v>
      </c>
      <c r="S54" s="34" t="s">
        <v>164</v>
      </c>
      <c r="T54" s="34">
        <v>0.34</v>
      </c>
      <c r="U54" s="34">
        <v>0.255</v>
      </c>
      <c r="V54" s="357">
        <f t="shared" si="0"/>
        <v>0.75</v>
      </c>
      <c r="W54" s="79">
        <f>66%+T54</f>
        <v>1</v>
      </c>
      <c r="X54" s="79">
        <f>66%+U54</f>
        <v>0.91500000000000004</v>
      </c>
      <c r="Y54" s="357">
        <f t="shared" si="1"/>
        <v>0.91500000000000004</v>
      </c>
      <c r="Z54" s="526" t="s">
        <v>606</v>
      </c>
      <c r="AA54" s="254" t="s">
        <v>607</v>
      </c>
      <c r="AB54" s="11"/>
      <c r="AC54" s="11"/>
      <c r="AD54" s="12"/>
      <c r="AE54" s="1"/>
    </row>
    <row r="55" spans="3:31" ht="163.5" customHeight="1" thickBot="1" x14ac:dyDescent="0.3">
      <c r="C55" s="885" t="s">
        <v>18</v>
      </c>
      <c r="D55" s="888" t="s">
        <v>19</v>
      </c>
      <c r="E55" s="850">
        <v>3</v>
      </c>
      <c r="F55" s="853" t="s">
        <v>70</v>
      </c>
      <c r="G55" s="832">
        <v>309</v>
      </c>
      <c r="H55" s="835" t="s">
        <v>192</v>
      </c>
      <c r="I55" s="838">
        <v>0.05</v>
      </c>
      <c r="J55" s="841" t="s">
        <v>193</v>
      </c>
      <c r="K55" s="835" t="s">
        <v>194</v>
      </c>
      <c r="L55" s="844" t="s">
        <v>81</v>
      </c>
      <c r="M55" s="847">
        <v>1</v>
      </c>
      <c r="N55" s="424" t="s">
        <v>583</v>
      </c>
      <c r="O55" s="33" t="s">
        <v>338</v>
      </c>
      <c r="P55" s="44" t="s">
        <v>584</v>
      </c>
      <c r="Q55" s="33" t="s">
        <v>197</v>
      </c>
      <c r="R55" s="34" t="s">
        <v>339</v>
      </c>
      <c r="S55" s="34" t="s">
        <v>42</v>
      </c>
      <c r="T55" s="36">
        <v>0</v>
      </c>
      <c r="U55" s="36">
        <v>1</v>
      </c>
      <c r="V55" s="50" t="e">
        <f>+U55/T55</f>
        <v>#DIV/0!</v>
      </c>
      <c r="W55" s="36">
        <v>1</v>
      </c>
      <c r="X55" s="36">
        <f>+U55</f>
        <v>1</v>
      </c>
      <c r="Y55" s="50">
        <f t="shared" si="1"/>
        <v>1</v>
      </c>
      <c r="Z55" s="255" t="s">
        <v>608</v>
      </c>
      <c r="AA55" s="249" t="s">
        <v>292</v>
      </c>
      <c r="AB55" s="20"/>
      <c r="AC55" s="20"/>
      <c r="AD55" s="21"/>
      <c r="AE55" s="1"/>
    </row>
    <row r="56" spans="3:31" ht="200.25" customHeight="1" thickBot="1" x14ac:dyDescent="0.3">
      <c r="C56" s="886"/>
      <c r="D56" s="889"/>
      <c r="E56" s="851"/>
      <c r="F56" s="854"/>
      <c r="G56" s="833"/>
      <c r="H56" s="836"/>
      <c r="I56" s="839"/>
      <c r="J56" s="842"/>
      <c r="K56" s="836"/>
      <c r="L56" s="845"/>
      <c r="M56" s="848"/>
      <c r="N56" s="408" t="s">
        <v>208</v>
      </c>
      <c r="O56" s="33" t="s">
        <v>199</v>
      </c>
      <c r="P56" s="44" t="s">
        <v>210</v>
      </c>
      <c r="Q56" s="33" t="s">
        <v>201</v>
      </c>
      <c r="R56" s="34" t="s">
        <v>202</v>
      </c>
      <c r="S56" s="34" t="s">
        <v>42</v>
      </c>
      <c r="T56" s="36">
        <v>1</v>
      </c>
      <c r="U56" s="36">
        <v>0</v>
      </c>
      <c r="V56" s="50">
        <f t="shared" si="0"/>
        <v>0</v>
      </c>
      <c r="W56" s="36">
        <f>2+T56</f>
        <v>3</v>
      </c>
      <c r="X56" s="36">
        <f>1+U56</f>
        <v>1</v>
      </c>
      <c r="Y56" s="50">
        <f t="shared" si="1"/>
        <v>0.33333333333333331</v>
      </c>
      <c r="Z56" s="248" t="s">
        <v>654</v>
      </c>
      <c r="AA56" s="249" t="s">
        <v>292</v>
      </c>
      <c r="AB56" s="20"/>
      <c r="AC56" s="20"/>
      <c r="AD56" s="21"/>
      <c r="AE56" s="1"/>
    </row>
    <row r="57" spans="3:31" ht="169.5" customHeight="1" thickBot="1" x14ac:dyDescent="0.3">
      <c r="C57" s="886"/>
      <c r="D57" s="889"/>
      <c r="E57" s="851"/>
      <c r="F57" s="854"/>
      <c r="G57" s="833"/>
      <c r="H57" s="836"/>
      <c r="I57" s="839"/>
      <c r="J57" s="842"/>
      <c r="K57" s="836"/>
      <c r="L57" s="845"/>
      <c r="M57" s="848"/>
      <c r="N57" s="408" t="s">
        <v>561</v>
      </c>
      <c r="O57" s="33" t="s">
        <v>204</v>
      </c>
      <c r="P57" s="44" t="s">
        <v>562</v>
      </c>
      <c r="Q57" s="33" t="s">
        <v>206</v>
      </c>
      <c r="R57" s="34" t="s">
        <v>207</v>
      </c>
      <c r="S57" s="34" t="s">
        <v>42</v>
      </c>
      <c r="T57" s="36">
        <v>4</v>
      </c>
      <c r="U57" s="36">
        <v>0</v>
      </c>
      <c r="V57" s="50">
        <f t="shared" si="0"/>
        <v>0</v>
      </c>
      <c r="W57" s="36">
        <f>8+T57</f>
        <v>12</v>
      </c>
      <c r="X57" s="36">
        <f>+U57</f>
        <v>0</v>
      </c>
      <c r="Y57" s="50">
        <f t="shared" si="1"/>
        <v>0</v>
      </c>
      <c r="Z57" s="525" t="s">
        <v>638</v>
      </c>
      <c r="AA57" s="529" t="s">
        <v>650</v>
      </c>
      <c r="AB57" s="20"/>
      <c r="AC57" s="20"/>
      <c r="AD57" s="21"/>
      <c r="AE57" s="1"/>
    </row>
    <row r="58" spans="3:31" ht="309.75" customHeight="1" thickBot="1" x14ac:dyDescent="0.3">
      <c r="C58" s="886"/>
      <c r="D58" s="889"/>
      <c r="E58" s="851"/>
      <c r="F58" s="854"/>
      <c r="G58" s="833"/>
      <c r="H58" s="836"/>
      <c r="I58" s="839"/>
      <c r="J58" s="842"/>
      <c r="K58" s="836"/>
      <c r="L58" s="845"/>
      <c r="M58" s="848"/>
      <c r="N58" s="408" t="s">
        <v>563</v>
      </c>
      <c r="O58" s="33" t="s">
        <v>209</v>
      </c>
      <c r="P58" s="44" t="s">
        <v>564</v>
      </c>
      <c r="Q58" s="33" t="s">
        <v>194</v>
      </c>
      <c r="R58" s="34" t="s">
        <v>194</v>
      </c>
      <c r="S58" s="34" t="s">
        <v>42</v>
      </c>
      <c r="T58" s="36">
        <v>1</v>
      </c>
      <c r="U58" s="36">
        <v>0</v>
      </c>
      <c r="V58" s="50">
        <f t="shared" si="0"/>
        <v>0</v>
      </c>
      <c r="W58" s="36">
        <f>2+T58</f>
        <v>3</v>
      </c>
      <c r="X58" s="36">
        <f>1+U58</f>
        <v>1</v>
      </c>
      <c r="Y58" s="50">
        <f t="shared" si="1"/>
        <v>0.33333333333333331</v>
      </c>
      <c r="Z58" s="248" t="s">
        <v>638</v>
      </c>
      <c r="AA58" s="529" t="s">
        <v>651</v>
      </c>
      <c r="AB58" s="20"/>
      <c r="AC58" s="20"/>
      <c r="AD58" s="21"/>
      <c r="AE58" s="1"/>
    </row>
    <row r="59" spans="3:31" ht="119.25" customHeight="1" thickBot="1" x14ac:dyDescent="0.3">
      <c r="C59" s="886"/>
      <c r="D59" s="889"/>
      <c r="E59" s="851"/>
      <c r="F59" s="854"/>
      <c r="G59" s="833"/>
      <c r="H59" s="836"/>
      <c r="I59" s="839"/>
      <c r="J59" s="842"/>
      <c r="K59" s="836"/>
      <c r="L59" s="845"/>
      <c r="M59" s="848"/>
      <c r="N59" s="810" t="s">
        <v>211</v>
      </c>
      <c r="O59" s="813" t="s">
        <v>212</v>
      </c>
      <c r="P59" s="44" t="s">
        <v>213</v>
      </c>
      <c r="Q59" s="33" t="s">
        <v>214</v>
      </c>
      <c r="R59" s="34" t="s">
        <v>215</v>
      </c>
      <c r="S59" s="34" t="s">
        <v>42</v>
      </c>
      <c r="T59" s="36">
        <v>10</v>
      </c>
      <c r="U59" s="36">
        <v>0</v>
      </c>
      <c r="V59" s="50">
        <f>+U59/T59</f>
        <v>0</v>
      </c>
      <c r="W59" s="36">
        <f>10+T59</f>
        <v>20</v>
      </c>
      <c r="X59" s="36">
        <f>+U59</f>
        <v>0</v>
      </c>
      <c r="Y59" s="50">
        <f t="shared" si="1"/>
        <v>0</v>
      </c>
      <c r="Z59" s="248" t="s">
        <v>621</v>
      </c>
      <c r="AA59" s="249" t="s">
        <v>292</v>
      </c>
      <c r="AB59" s="20"/>
      <c r="AC59" s="20"/>
      <c r="AD59" s="21"/>
      <c r="AE59" s="1"/>
    </row>
    <row r="60" spans="3:31" ht="360" customHeight="1" thickBot="1" x14ac:dyDescent="0.3">
      <c r="C60" s="886"/>
      <c r="D60" s="889"/>
      <c r="E60" s="851"/>
      <c r="F60" s="854"/>
      <c r="G60" s="833"/>
      <c r="H60" s="836"/>
      <c r="I60" s="839"/>
      <c r="J60" s="842"/>
      <c r="K60" s="836"/>
      <c r="L60" s="845"/>
      <c r="M60" s="848"/>
      <c r="N60" s="811"/>
      <c r="O60" s="814"/>
      <c r="P60" s="44" t="s">
        <v>216</v>
      </c>
      <c r="Q60" s="33" t="s">
        <v>217</v>
      </c>
      <c r="R60" s="34" t="s">
        <v>218</v>
      </c>
      <c r="S60" s="34" t="s">
        <v>219</v>
      </c>
      <c r="T60" s="36">
        <v>8</v>
      </c>
      <c r="U60" s="36">
        <v>10</v>
      </c>
      <c r="V60" s="50">
        <f>+T60/U60</f>
        <v>0.8</v>
      </c>
      <c r="W60" s="36">
        <v>8</v>
      </c>
      <c r="X60" s="250">
        <v>9</v>
      </c>
      <c r="Y60" s="50">
        <f>+W60/X60</f>
        <v>0.88888888888888884</v>
      </c>
      <c r="Z60" s="248" t="s">
        <v>642</v>
      </c>
      <c r="AA60" s="253" t="s">
        <v>668</v>
      </c>
      <c r="AB60" s="20"/>
      <c r="AC60" s="20"/>
      <c r="AD60" s="21"/>
      <c r="AE60" s="1"/>
    </row>
    <row r="61" spans="3:31" ht="177" customHeight="1" thickBot="1" x14ac:dyDescent="0.3">
      <c r="C61" s="886"/>
      <c r="D61" s="889"/>
      <c r="E61" s="851"/>
      <c r="F61" s="854"/>
      <c r="G61" s="833"/>
      <c r="H61" s="836"/>
      <c r="I61" s="839"/>
      <c r="J61" s="842"/>
      <c r="K61" s="836"/>
      <c r="L61" s="845"/>
      <c r="M61" s="848"/>
      <c r="N61" s="812"/>
      <c r="O61" s="815"/>
      <c r="P61" s="44" t="s">
        <v>220</v>
      </c>
      <c r="Q61" s="33" t="s">
        <v>221</v>
      </c>
      <c r="R61" s="34" t="s">
        <v>222</v>
      </c>
      <c r="S61" s="34" t="s">
        <v>343</v>
      </c>
      <c r="T61" s="34">
        <v>1</v>
      </c>
      <c r="U61" s="34">
        <v>0.75</v>
      </c>
      <c r="V61" s="50">
        <f t="shared" si="0"/>
        <v>0.75</v>
      </c>
      <c r="W61" s="34">
        <v>1</v>
      </c>
      <c r="X61" s="90">
        <v>0.86499999999999999</v>
      </c>
      <c r="Y61" s="50">
        <f t="shared" si="1"/>
        <v>0.86499999999999999</v>
      </c>
      <c r="Z61" s="252" t="s">
        <v>652</v>
      </c>
      <c r="AA61" s="249" t="s">
        <v>292</v>
      </c>
      <c r="AB61" s="20"/>
      <c r="AC61" s="20"/>
      <c r="AD61" s="21"/>
      <c r="AE61" s="1"/>
    </row>
    <row r="62" spans="3:31" ht="169.5" customHeight="1" thickBot="1" x14ac:dyDescent="0.3">
      <c r="C62" s="886"/>
      <c r="D62" s="889"/>
      <c r="E62" s="851"/>
      <c r="F62" s="854"/>
      <c r="G62" s="833"/>
      <c r="H62" s="836"/>
      <c r="I62" s="839"/>
      <c r="J62" s="842"/>
      <c r="K62" s="836"/>
      <c r="L62" s="845"/>
      <c r="M62" s="848"/>
      <c r="N62" s="45" t="s">
        <v>224</v>
      </c>
      <c r="O62" s="33" t="s">
        <v>225</v>
      </c>
      <c r="P62" s="44" t="s">
        <v>226</v>
      </c>
      <c r="Q62" s="33" t="s">
        <v>227</v>
      </c>
      <c r="R62" s="34" t="s">
        <v>228</v>
      </c>
      <c r="S62" s="34" t="s">
        <v>229</v>
      </c>
      <c r="T62" s="34">
        <v>0</v>
      </c>
      <c r="U62" s="34">
        <v>0.2</v>
      </c>
      <c r="V62" s="50">
        <v>1</v>
      </c>
      <c r="W62" s="34">
        <v>1</v>
      </c>
      <c r="X62" s="39">
        <f>80%+U62</f>
        <v>1</v>
      </c>
      <c r="Y62" s="50">
        <f t="shared" si="1"/>
        <v>1</v>
      </c>
      <c r="Z62" s="252" t="s">
        <v>653</v>
      </c>
      <c r="AA62" s="249" t="s">
        <v>292</v>
      </c>
      <c r="AB62" s="20"/>
      <c r="AC62" s="20"/>
      <c r="AD62" s="21"/>
      <c r="AE62" s="1"/>
    </row>
    <row r="63" spans="3:31" ht="343.5" hidden="1" customHeight="1" thickBot="1" x14ac:dyDescent="0.3">
      <c r="C63" s="887"/>
      <c r="D63" s="890"/>
      <c r="E63" s="852"/>
      <c r="F63" s="855"/>
      <c r="G63" s="834"/>
      <c r="H63" s="837"/>
      <c r="I63" s="840"/>
      <c r="J63" s="843"/>
      <c r="K63" s="837"/>
      <c r="L63" s="846"/>
      <c r="M63" s="849"/>
      <c r="N63" s="409" t="s">
        <v>230</v>
      </c>
      <c r="O63" s="410" t="s">
        <v>232</v>
      </c>
      <c r="P63" s="411" t="s">
        <v>231</v>
      </c>
      <c r="Q63" s="410" t="s">
        <v>233</v>
      </c>
      <c r="R63" s="412" t="s">
        <v>234</v>
      </c>
      <c r="S63" s="412" t="s">
        <v>235</v>
      </c>
      <c r="T63" s="413"/>
      <c r="U63" s="413"/>
      <c r="V63" s="414" t="e">
        <f t="shared" si="0"/>
        <v>#DIV/0!</v>
      </c>
      <c r="W63" s="413">
        <v>1</v>
      </c>
      <c r="X63" s="413">
        <v>1</v>
      </c>
      <c r="Y63" s="414">
        <f t="shared" si="1"/>
        <v>1</v>
      </c>
      <c r="Z63" s="415" t="s">
        <v>555</v>
      </c>
      <c r="AA63" s="416" t="s">
        <v>556</v>
      </c>
      <c r="AB63" s="20"/>
      <c r="AC63" s="20"/>
      <c r="AD63" s="21"/>
      <c r="AE63" s="1"/>
    </row>
    <row r="64" spans="3:31" ht="237" customHeight="1" thickBot="1" x14ac:dyDescent="0.3">
      <c r="C64" s="886" t="s">
        <v>18</v>
      </c>
      <c r="D64" s="889" t="s">
        <v>19</v>
      </c>
      <c r="E64" s="851">
        <v>3</v>
      </c>
      <c r="F64" s="854" t="s">
        <v>70</v>
      </c>
      <c r="G64" s="833">
        <v>309</v>
      </c>
      <c r="H64" s="938" t="s">
        <v>543</v>
      </c>
      <c r="I64" s="358"/>
      <c r="J64" s="842" t="s">
        <v>193</v>
      </c>
      <c r="K64" s="938" t="s">
        <v>544</v>
      </c>
      <c r="L64" s="845" t="s">
        <v>81</v>
      </c>
      <c r="M64" s="848"/>
      <c r="N64" s="811" t="s">
        <v>236</v>
      </c>
      <c r="O64" s="814" t="s">
        <v>237</v>
      </c>
      <c r="P64" s="515" t="s">
        <v>238</v>
      </c>
      <c r="Q64" s="517" t="s">
        <v>239</v>
      </c>
      <c r="R64" s="518" t="s">
        <v>240</v>
      </c>
      <c r="S64" s="518" t="s">
        <v>42</v>
      </c>
      <c r="T64" s="520">
        <v>1250</v>
      </c>
      <c r="U64" s="520">
        <v>1290</v>
      </c>
      <c r="V64" s="354">
        <f t="shared" si="0"/>
        <v>1.032</v>
      </c>
      <c r="W64" s="520">
        <f>2300+T64</f>
        <v>3550</v>
      </c>
      <c r="X64" s="360">
        <f>2480+U64</f>
        <v>3770</v>
      </c>
      <c r="Y64" s="354">
        <f t="shared" si="1"/>
        <v>1.0619718309859154</v>
      </c>
      <c r="Z64" s="361" t="s">
        <v>609</v>
      </c>
      <c r="AA64" s="531" t="s">
        <v>670</v>
      </c>
      <c r="AB64" s="20"/>
      <c r="AC64" s="20"/>
      <c r="AD64" s="427"/>
      <c r="AE64" s="1"/>
    </row>
    <row r="65" spans="1:31" ht="239.25" customHeight="1" thickBot="1" x14ac:dyDescent="0.3">
      <c r="C65" s="886"/>
      <c r="D65" s="889"/>
      <c r="E65" s="851"/>
      <c r="F65" s="854"/>
      <c r="G65" s="833"/>
      <c r="H65" s="938"/>
      <c r="I65" s="358"/>
      <c r="J65" s="842"/>
      <c r="K65" s="938"/>
      <c r="L65" s="845"/>
      <c r="M65" s="848"/>
      <c r="N65" s="812"/>
      <c r="O65" s="815"/>
      <c r="P65" s="44" t="s">
        <v>241</v>
      </c>
      <c r="Q65" s="33" t="s">
        <v>332</v>
      </c>
      <c r="R65" s="34" t="s">
        <v>333</v>
      </c>
      <c r="S65" s="34" t="s">
        <v>77</v>
      </c>
      <c r="T65" s="79">
        <v>1</v>
      </c>
      <c r="U65" s="79">
        <v>0.99</v>
      </c>
      <c r="V65" s="50">
        <f t="shared" si="0"/>
        <v>0.99</v>
      </c>
      <c r="W65" s="34">
        <v>1</v>
      </c>
      <c r="X65" s="90">
        <v>0.99</v>
      </c>
      <c r="Y65" s="50">
        <f t="shared" si="1"/>
        <v>0.99</v>
      </c>
      <c r="Z65" s="252" t="s">
        <v>610</v>
      </c>
      <c r="AA65" s="254" t="s">
        <v>672</v>
      </c>
      <c r="AB65" s="20"/>
      <c r="AC65" s="20"/>
      <c r="AD65" s="21"/>
      <c r="AE65" s="1"/>
    </row>
    <row r="66" spans="1:31" ht="376.5" customHeight="1" thickBot="1" x14ac:dyDescent="0.3">
      <c r="C66" s="886"/>
      <c r="D66" s="889"/>
      <c r="E66" s="851"/>
      <c r="F66" s="854"/>
      <c r="G66" s="833"/>
      <c r="H66" s="938"/>
      <c r="I66" s="358"/>
      <c r="J66" s="842"/>
      <c r="K66" s="938"/>
      <c r="L66" s="845"/>
      <c r="M66" s="848"/>
      <c r="N66" s="810" t="s">
        <v>242</v>
      </c>
      <c r="O66" s="816" t="s">
        <v>243</v>
      </c>
      <c r="P66" s="44" t="s">
        <v>244</v>
      </c>
      <c r="Q66" s="33" t="s">
        <v>245</v>
      </c>
      <c r="R66" s="34" t="s">
        <v>228</v>
      </c>
      <c r="S66" s="34" t="s">
        <v>229</v>
      </c>
      <c r="T66" s="90">
        <v>0.46700000000000003</v>
      </c>
      <c r="U66" s="90">
        <v>0.46679999999999999</v>
      </c>
      <c r="V66" s="50">
        <f>+U66/T66</f>
        <v>0.99957173447537462</v>
      </c>
      <c r="W66" s="88">
        <f>53.3%+T66</f>
        <v>1</v>
      </c>
      <c r="X66" s="428">
        <f>51.33%+U66</f>
        <v>0.98009999999999997</v>
      </c>
      <c r="Y66" s="50">
        <f t="shared" si="1"/>
        <v>0.98009999999999997</v>
      </c>
      <c r="Z66" s="252" t="s">
        <v>673</v>
      </c>
      <c r="AA66" s="266" t="s">
        <v>611</v>
      </c>
      <c r="AB66" s="20"/>
      <c r="AC66" s="20"/>
      <c r="AD66" s="21"/>
      <c r="AE66" s="1"/>
    </row>
    <row r="67" spans="1:31" ht="248.25" customHeight="1" thickBot="1" x14ac:dyDescent="0.3">
      <c r="C67" s="886"/>
      <c r="D67" s="889"/>
      <c r="E67" s="852"/>
      <c r="F67" s="855"/>
      <c r="G67" s="834"/>
      <c r="H67" s="909"/>
      <c r="I67" s="359"/>
      <c r="J67" s="843"/>
      <c r="K67" s="909"/>
      <c r="L67" s="846"/>
      <c r="M67" s="849"/>
      <c r="N67" s="812"/>
      <c r="O67" s="817"/>
      <c r="P67" s="44" t="s">
        <v>298</v>
      </c>
      <c r="Q67" s="33" t="s">
        <v>334</v>
      </c>
      <c r="R67" s="34" t="s">
        <v>228</v>
      </c>
      <c r="S67" s="34" t="s">
        <v>164</v>
      </c>
      <c r="T67" s="79">
        <v>0.36699999999999999</v>
      </c>
      <c r="U67" s="79">
        <v>0.36680000000000001</v>
      </c>
      <c r="V67" s="50">
        <f>+U67/T67</f>
        <v>0.99945504087193471</v>
      </c>
      <c r="W67" s="88">
        <f>63.33%+T67</f>
        <v>1.0003</v>
      </c>
      <c r="X67" s="90">
        <f>45.83%+U67</f>
        <v>0.82509999999999994</v>
      </c>
      <c r="Y67" s="50">
        <f>+X67/W67</f>
        <v>0.82485254423672894</v>
      </c>
      <c r="Z67" s="252" t="s">
        <v>612</v>
      </c>
      <c r="AA67" s="267" t="s">
        <v>613</v>
      </c>
      <c r="AB67" s="20"/>
      <c r="AC67" s="20"/>
      <c r="AD67" s="21"/>
      <c r="AE67" s="1"/>
    </row>
    <row r="68" spans="1:31" ht="389.25" customHeight="1" x14ac:dyDescent="0.25">
      <c r="C68" s="886"/>
      <c r="D68" s="889"/>
      <c r="E68" s="850">
        <v>4</v>
      </c>
      <c r="F68" s="853" t="s">
        <v>246</v>
      </c>
      <c r="G68" s="832">
        <v>401</v>
      </c>
      <c r="H68" s="835" t="s">
        <v>247</v>
      </c>
      <c r="I68" s="838">
        <v>0.35</v>
      </c>
      <c r="J68" s="841" t="s">
        <v>248</v>
      </c>
      <c r="K68" s="835" t="s">
        <v>249</v>
      </c>
      <c r="L68" s="844" t="s">
        <v>81</v>
      </c>
      <c r="M68" s="826">
        <v>1</v>
      </c>
      <c r="N68" s="981" t="s">
        <v>580</v>
      </c>
      <c r="O68" s="828" t="s">
        <v>335</v>
      </c>
      <c r="P68" s="826" t="s">
        <v>581</v>
      </c>
      <c r="Q68" s="828" t="s">
        <v>336</v>
      </c>
      <c r="R68" s="820" t="s">
        <v>337</v>
      </c>
      <c r="S68" s="820" t="s">
        <v>42</v>
      </c>
      <c r="T68" s="945">
        <v>10</v>
      </c>
      <c r="U68" s="945">
        <v>11</v>
      </c>
      <c r="V68" s="769">
        <f t="shared" si="0"/>
        <v>1.1000000000000001</v>
      </c>
      <c r="W68" s="945">
        <f>10+T68</f>
        <v>20</v>
      </c>
      <c r="X68" s="945">
        <f>10+U68</f>
        <v>21</v>
      </c>
      <c r="Y68" s="769">
        <f t="shared" si="1"/>
        <v>1.05</v>
      </c>
      <c r="Z68" s="947" t="s">
        <v>674</v>
      </c>
      <c r="AA68" s="949" t="s">
        <v>598</v>
      </c>
      <c r="AB68" s="22"/>
      <c r="AC68" s="22"/>
      <c r="AD68" s="23"/>
      <c r="AE68" s="1">
        <f>91-62</f>
        <v>29</v>
      </c>
    </row>
    <row r="69" spans="1:31" ht="186" customHeight="1" thickBot="1" x14ac:dyDescent="0.3">
      <c r="C69" s="886"/>
      <c r="D69" s="889"/>
      <c r="E69" s="851"/>
      <c r="F69" s="854"/>
      <c r="G69" s="834"/>
      <c r="H69" s="837"/>
      <c r="I69" s="840"/>
      <c r="J69" s="843"/>
      <c r="K69" s="837"/>
      <c r="L69" s="846"/>
      <c r="M69" s="827"/>
      <c r="N69" s="982"/>
      <c r="O69" s="829"/>
      <c r="P69" s="827"/>
      <c r="Q69" s="829"/>
      <c r="R69" s="821"/>
      <c r="S69" s="821"/>
      <c r="T69" s="946"/>
      <c r="U69" s="946"/>
      <c r="V69" s="770"/>
      <c r="W69" s="946"/>
      <c r="X69" s="946"/>
      <c r="Y69" s="770"/>
      <c r="Z69" s="948"/>
      <c r="AA69" s="950"/>
      <c r="AB69" s="22"/>
      <c r="AC69" s="22"/>
      <c r="AD69" s="23"/>
      <c r="AE69" s="1"/>
    </row>
    <row r="70" spans="1:31" ht="174.75" customHeight="1" thickBot="1" x14ac:dyDescent="0.3">
      <c r="C70" s="886"/>
      <c r="D70" s="889"/>
      <c r="E70" s="851"/>
      <c r="F70" s="854"/>
      <c r="G70" s="832">
        <v>402</v>
      </c>
      <c r="H70" s="835" t="s">
        <v>286</v>
      </c>
      <c r="I70" s="838">
        <v>0.35</v>
      </c>
      <c r="J70" s="14" t="s">
        <v>252</v>
      </c>
      <c r="K70" s="47" t="s">
        <v>253</v>
      </c>
      <c r="L70" s="72" t="s">
        <v>81</v>
      </c>
      <c r="M70" s="46">
        <v>0.6</v>
      </c>
      <c r="N70" s="981" t="s">
        <v>585</v>
      </c>
      <c r="O70" s="824" t="s">
        <v>340</v>
      </c>
      <c r="P70" s="826" t="s">
        <v>586</v>
      </c>
      <c r="Q70" s="828" t="s">
        <v>341</v>
      </c>
      <c r="R70" s="820" t="s">
        <v>342</v>
      </c>
      <c r="S70" s="820" t="s">
        <v>256</v>
      </c>
      <c r="T70" s="820">
        <v>0.75</v>
      </c>
      <c r="U70" s="820">
        <v>0</v>
      </c>
      <c r="V70" s="769">
        <f t="shared" si="0"/>
        <v>0</v>
      </c>
      <c r="W70" s="820">
        <f>+T70</f>
        <v>0.75</v>
      </c>
      <c r="X70" s="820">
        <f>+U70</f>
        <v>0</v>
      </c>
      <c r="Y70" s="769">
        <f t="shared" si="1"/>
        <v>0</v>
      </c>
      <c r="Z70" s="822" t="s">
        <v>599</v>
      </c>
      <c r="AA70" s="818" t="s">
        <v>600</v>
      </c>
      <c r="AB70" s="24"/>
      <c r="AC70" s="24"/>
      <c r="AD70" s="25"/>
      <c r="AE70" s="1"/>
    </row>
    <row r="71" spans="1:31" ht="93" customHeight="1" thickBot="1" x14ac:dyDescent="0.3">
      <c r="C71" s="886"/>
      <c r="D71" s="889"/>
      <c r="E71" s="851"/>
      <c r="F71" s="854"/>
      <c r="G71" s="834"/>
      <c r="H71" s="837"/>
      <c r="I71" s="840"/>
      <c r="J71" s="14" t="s">
        <v>257</v>
      </c>
      <c r="K71" s="509" t="s">
        <v>194</v>
      </c>
      <c r="L71" s="513" t="s">
        <v>81</v>
      </c>
      <c r="M71" s="527">
        <v>0.4</v>
      </c>
      <c r="N71" s="982"/>
      <c r="O71" s="825"/>
      <c r="P71" s="827"/>
      <c r="Q71" s="829"/>
      <c r="R71" s="821"/>
      <c r="S71" s="821"/>
      <c r="T71" s="821"/>
      <c r="U71" s="821"/>
      <c r="V71" s="770"/>
      <c r="W71" s="821"/>
      <c r="X71" s="821"/>
      <c r="Y71" s="770"/>
      <c r="Z71" s="823"/>
      <c r="AA71" s="819"/>
      <c r="AB71" s="24"/>
      <c r="AC71" s="24"/>
      <c r="AD71" s="25"/>
      <c r="AE71" s="1"/>
    </row>
    <row r="72" spans="1:31" ht="251.25" customHeight="1" thickBot="1" x14ac:dyDescent="0.3">
      <c r="C72" s="887"/>
      <c r="D72" s="890"/>
      <c r="E72" s="852"/>
      <c r="F72" s="855"/>
      <c r="G72" s="502">
        <v>403</v>
      </c>
      <c r="H72" s="509" t="s">
        <v>258</v>
      </c>
      <c r="I72" s="523">
        <v>0.3</v>
      </c>
      <c r="J72" s="14" t="s">
        <v>259</v>
      </c>
      <c r="K72" s="509" t="s">
        <v>260</v>
      </c>
      <c r="L72" s="513" t="s">
        <v>81</v>
      </c>
      <c r="M72" s="527">
        <v>1</v>
      </c>
      <c r="N72" s="417" t="s">
        <v>203</v>
      </c>
      <c r="O72" s="41" t="s">
        <v>262</v>
      </c>
      <c r="P72" s="46" t="s">
        <v>205</v>
      </c>
      <c r="Q72" s="41" t="s">
        <v>194</v>
      </c>
      <c r="R72" s="42" t="s">
        <v>194</v>
      </c>
      <c r="S72" s="42" t="s">
        <v>42</v>
      </c>
      <c r="T72" s="43">
        <v>1</v>
      </c>
      <c r="U72" s="43">
        <v>1</v>
      </c>
      <c r="V72" s="51">
        <f>+U72/T72</f>
        <v>1</v>
      </c>
      <c r="W72" s="43">
        <f>1+T72</f>
        <v>2</v>
      </c>
      <c r="X72" s="43">
        <f>1+U72</f>
        <v>2</v>
      </c>
      <c r="Y72" s="51">
        <f t="shared" si="1"/>
        <v>1</v>
      </c>
      <c r="Z72" s="255" t="s">
        <v>637</v>
      </c>
      <c r="AA72" s="254" t="s">
        <v>675</v>
      </c>
      <c r="AB72" s="22"/>
      <c r="AC72" s="22"/>
      <c r="AD72" s="23"/>
      <c r="AE72" s="1"/>
    </row>
    <row r="73" spans="1:31" ht="12.75" customHeight="1" x14ac:dyDescent="0.35">
      <c r="E73" s="26"/>
      <c r="F73" s="2"/>
      <c r="G73" s="1"/>
      <c r="H73" s="3"/>
      <c r="I73" s="4"/>
      <c r="J73" s="1"/>
      <c r="K73" s="3"/>
      <c r="L73" s="5"/>
      <c r="M73" s="27"/>
      <c r="N73" s="27"/>
      <c r="O73" s="27"/>
      <c r="P73" s="27"/>
      <c r="Q73" s="27"/>
      <c r="R73" s="27"/>
      <c r="S73" s="27"/>
      <c r="T73" s="27"/>
      <c r="U73" s="27"/>
      <c r="V73" s="27"/>
      <c r="W73" s="27"/>
      <c r="X73" s="27"/>
      <c r="Y73" s="27"/>
      <c r="Z73" s="27"/>
      <c r="AA73" s="27"/>
      <c r="AB73" s="27"/>
      <c r="AC73" s="27"/>
      <c r="AD73" s="27"/>
      <c r="AE73" s="1"/>
    </row>
    <row r="74" spans="1:31" s="29" customFormat="1" x14ac:dyDescent="0.35">
      <c r="A74" s="2"/>
      <c r="B74" s="2"/>
      <c r="C74" s="2"/>
      <c r="D74" s="2"/>
      <c r="E74" s="1"/>
      <c r="F74" s="2"/>
      <c r="G74" s="1"/>
      <c r="H74" s="3"/>
      <c r="I74" s="28"/>
      <c r="J74" s="1"/>
      <c r="K74" s="3"/>
      <c r="L74" s="5"/>
      <c r="M74" s="1"/>
      <c r="N74" s="1"/>
      <c r="O74" s="1"/>
      <c r="P74" s="1"/>
      <c r="Q74" s="1"/>
      <c r="R74" s="1"/>
      <c r="S74" s="1"/>
      <c r="T74" s="1"/>
      <c r="U74" s="1"/>
      <c r="V74" s="1"/>
      <c r="W74" s="1"/>
      <c r="X74" s="1"/>
      <c r="Y74" s="1"/>
      <c r="Z74" s="1"/>
      <c r="AA74" s="1"/>
      <c r="AB74" s="1"/>
      <c r="AC74" s="1"/>
      <c r="AD74" s="1"/>
      <c r="AE74" s="2"/>
    </row>
    <row r="75" spans="1:31" x14ac:dyDescent="0.35">
      <c r="E75" s="1"/>
      <c r="F75" s="2"/>
      <c r="G75" s="1"/>
      <c r="H75" s="3"/>
      <c r="I75" s="4"/>
      <c r="J75" s="1"/>
      <c r="K75" s="3"/>
      <c r="L75" s="5"/>
      <c r="M75" s="1"/>
      <c r="N75" s="1"/>
      <c r="O75" s="1"/>
      <c r="P75" s="1"/>
      <c r="Q75" s="1"/>
      <c r="R75" s="1"/>
      <c r="S75" s="1"/>
      <c r="T75" s="1"/>
      <c r="U75" s="1"/>
      <c r="V75" s="1"/>
      <c r="W75" s="1"/>
      <c r="X75" s="1"/>
      <c r="Y75" s="1"/>
      <c r="Z75" s="1"/>
      <c r="AA75" s="1"/>
      <c r="AB75" s="1"/>
      <c r="AC75" s="1"/>
      <c r="AD75" s="1"/>
      <c r="AE75" s="1"/>
    </row>
    <row r="76" spans="1:31" x14ac:dyDescent="0.35">
      <c r="E76" s="1"/>
      <c r="F76" s="2"/>
      <c r="G76" s="1"/>
      <c r="H76" s="3"/>
      <c r="I76" s="4"/>
      <c r="J76" s="1"/>
      <c r="K76" s="3"/>
      <c r="L76" s="5"/>
      <c r="M76" s="1"/>
      <c r="N76" s="1"/>
      <c r="O76" s="1"/>
      <c r="P76" s="1"/>
      <c r="Q76" s="1"/>
      <c r="R76" s="1"/>
      <c r="S76" s="1"/>
      <c r="T76" s="1"/>
      <c r="U76" s="1"/>
      <c r="V76" s="1"/>
      <c r="W76" s="1"/>
      <c r="X76" s="1"/>
      <c r="Y76" s="1"/>
      <c r="Z76" s="1"/>
      <c r="AA76" s="1"/>
      <c r="AB76" s="1"/>
      <c r="AC76" s="1"/>
      <c r="AD76" s="1"/>
      <c r="AE76" s="1"/>
    </row>
  </sheetData>
  <sheetProtection algorithmName="SHA-512" hashValue="qkme6A8PMS5uAMlegV+p0uCt5X4iiYECD32BG1m/USWwmhUE1kdjFkmbDgbokfH6JhsOPyMWk/NEKgMdJOlhGw==" saltValue="lSnGe4kVIVy5enCkIPkGcw==" spinCount="100000" sheet="1" objects="1" scenarios="1"/>
  <mergeCells count="246">
    <mergeCell ref="K68:K69"/>
    <mergeCell ref="L68:L69"/>
    <mergeCell ref="M68:M69"/>
    <mergeCell ref="N68:N69"/>
    <mergeCell ref="O68:O69"/>
    <mergeCell ref="Z70:Z71"/>
    <mergeCell ref="AA70:AA71"/>
    <mergeCell ref="Q70:Q71"/>
    <mergeCell ref="R70:R71"/>
    <mergeCell ref="S70:S71"/>
    <mergeCell ref="T70:T71"/>
    <mergeCell ref="U70:U71"/>
    <mergeCell ref="V70:V71"/>
    <mergeCell ref="Z68:Z69"/>
    <mergeCell ref="AA68:AA69"/>
    <mergeCell ref="V68:V69"/>
    <mergeCell ref="W68:W69"/>
    <mergeCell ref="X68:X69"/>
    <mergeCell ref="W70:W71"/>
    <mergeCell ref="O64:O65"/>
    <mergeCell ref="N66:N67"/>
    <mergeCell ref="O66:O67"/>
    <mergeCell ref="E68:E72"/>
    <mergeCell ref="F68:F72"/>
    <mergeCell ref="G68:G69"/>
    <mergeCell ref="H68:H69"/>
    <mergeCell ref="I68:I69"/>
    <mergeCell ref="Y68:Y69"/>
    <mergeCell ref="X70:X71"/>
    <mergeCell ref="Y70:Y71"/>
    <mergeCell ref="P68:P69"/>
    <mergeCell ref="Q68:Q69"/>
    <mergeCell ref="R68:R69"/>
    <mergeCell ref="S68:S69"/>
    <mergeCell ref="T68:T69"/>
    <mergeCell ref="U68:U69"/>
    <mergeCell ref="G70:G71"/>
    <mergeCell ref="H70:H71"/>
    <mergeCell ref="I70:I71"/>
    <mergeCell ref="N70:N71"/>
    <mergeCell ref="O70:O71"/>
    <mergeCell ref="P70:P71"/>
    <mergeCell ref="J68:J69"/>
    <mergeCell ref="O59:O61"/>
    <mergeCell ref="C64:C72"/>
    <mergeCell ref="D64:D72"/>
    <mergeCell ref="E64:E67"/>
    <mergeCell ref="F64:F67"/>
    <mergeCell ref="G64:G67"/>
    <mergeCell ref="H64:H67"/>
    <mergeCell ref="J64:J67"/>
    <mergeCell ref="K64:K67"/>
    <mergeCell ref="L64:L67"/>
    <mergeCell ref="I55:I63"/>
    <mergeCell ref="J55:J63"/>
    <mergeCell ref="K55:K63"/>
    <mergeCell ref="L55:L63"/>
    <mergeCell ref="M55:M63"/>
    <mergeCell ref="N59:N61"/>
    <mergeCell ref="C55:C63"/>
    <mergeCell ref="D55:D63"/>
    <mergeCell ref="E55:E63"/>
    <mergeCell ref="F55:F63"/>
    <mergeCell ref="G55:G63"/>
    <mergeCell ref="H55:H63"/>
    <mergeCell ref="M64:M67"/>
    <mergeCell ref="N64:N65"/>
    <mergeCell ref="I47:I54"/>
    <mergeCell ref="N47:N51"/>
    <mergeCell ref="O47:O51"/>
    <mergeCell ref="J48:J54"/>
    <mergeCell ref="K48:K54"/>
    <mergeCell ref="L48:L54"/>
    <mergeCell ref="M48:M54"/>
    <mergeCell ref="H44:H46"/>
    <mergeCell ref="J44:J46"/>
    <mergeCell ref="K44:K46"/>
    <mergeCell ref="L44:L46"/>
    <mergeCell ref="M44:M46"/>
    <mergeCell ref="N45:N46"/>
    <mergeCell ref="W40:W42"/>
    <mergeCell ref="X40:X42"/>
    <mergeCell ref="Y40:Y42"/>
    <mergeCell ref="Z40:Z42"/>
    <mergeCell ref="AA40:AA42"/>
    <mergeCell ref="C44:C54"/>
    <mergeCell ref="D44:D54"/>
    <mergeCell ref="E44:E54"/>
    <mergeCell ref="F44:F54"/>
    <mergeCell ref="G44:G46"/>
    <mergeCell ref="Q40:Q42"/>
    <mergeCell ref="R40:R42"/>
    <mergeCell ref="S40:S42"/>
    <mergeCell ref="T40:T42"/>
    <mergeCell ref="U40:U42"/>
    <mergeCell ref="V40:V42"/>
    <mergeCell ref="C35:C43"/>
    <mergeCell ref="D35:D43"/>
    <mergeCell ref="E35:E43"/>
    <mergeCell ref="F35:F43"/>
    <mergeCell ref="H35:H39"/>
    <mergeCell ref="O45:O46"/>
    <mergeCell ref="G47:G54"/>
    <mergeCell ref="H47:H54"/>
    <mergeCell ref="V37:V38"/>
    <mergeCell ref="W37:W38"/>
    <mergeCell ref="X37:X38"/>
    <mergeCell ref="Y37:Y38"/>
    <mergeCell ref="G40:G42"/>
    <mergeCell ref="H40:H42"/>
    <mergeCell ref="I40:I42"/>
    <mergeCell ref="N40:N42"/>
    <mergeCell ref="O40:O42"/>
    <mergeCell ref="P40:P42"/>
    <mergeCell ref="P37:P38"/>
    <mergeCell ref="Q37:Q38"/>
    <mergeCell ref="R37:R38"/>
    <mergeCell ref="S37:S38"/>
    <mergeCell ref="T37:T38"/>
    <mergeCell ref="U37:U38"/>
    <mergeCell ref="I35:I39"/>
    <mergeCell ref="N35:N38"/>
    <mergeCell ref="O35:O38"/>
    <mergeCell ref="J37:J38"/>
    <mergeCell ref="K37:K38"/>
    <mergeCell ref="L37:L38"/>
    <mergeCell ref="M37:M38"/>
    <mergeCell ref="G35:G39"/>
    <mergeCell ref="O27:O28"/>
    <mergeCell ref="G32:G34"/>
    <mergeCell ref="H32:H34"/>
    <mergeCell ref="I32:I34"/>
    <mergeCell ref="J32:J34"/>
    <mergeCell ref="K32:K34"/>
    <mergeCell ref="L32:L34"/>
    <mergeCell ref="M32:M34"/>
    <mergeCell ref="N33:N34"/>
    <mergeCell ref="O33:O34"/>
    <mergeCell ref="Z24:Z25"/>
    <mergeCell ref="AA24:AA25"/>
    <mergeCell ref="G27:G31"/>
    <mergeCell ref="H27:H31"/>
    <mergeCell ref="I27:I31"/>
    <mergeCell ref="J27:J31"/>
    <mergeCell ref="K27:K31"/>
    <mergeCell ref="L27:L31"/>
    <mergeCell ref="M27:M31"/>
    <mergeCell ref="N27:N28"/>
    <mergeCell ref="T24:T25"/>
    <mergeCell ref="U24:U25"/>
    <mergeCell ref="V24:V25"/>
    <mergeCell ref="W24:W25"/>
    <mergeCell ref="X24:X25"/>
    <mergeCell ref="Y24:Y25"/>
    <mergeCell ref="N24:N25"/>
    <mergeCell ref="O24:O25"/>
    <mergeCell ref="P24:P25"/>
    <mergeCell ref="Q24:Q25"/>
    <mergeCell ref="R24:R25"/>
    <mergeCell ref="S24:S25"/>
    <mergeCell ref="H24:H26"/>
    <mergeCell ref="I24:I26"/>
    <mergeCell ref="C24:C34"/>
    <mergeCell ref="D24:D34"/>
    <mergeCell ref="E24:E34"/>
    <mergeCell ref="F24:F34"/>
    <mergeCell ref="G24:G26"/>
    <mergeCell ref="V16:V22"/>
    <mergeCell ref="W16:W22"/>
    <mergeCell ref="X16:X22"/>
    <mergeCell ref="Y16:Y22"/>
    <mergeCell ref="E16:E22"/>
    <mergeCell ref="F16:F22"/>
    <mergeCell ref="G16:G17"/>
    <mergeCell ref="H16:H17"/>
    <mergeCell ref="I16:I17"/>
    <mergeCell ref="G18:G19"/>
    <mergeCell ref="J24:J26"/>
    <mergeCell ref="K24:K26"/>
    <mergeCell ref="L24:L26"/>
    <mergeCell ref="M24:M26"/>
    <mergeCell ref="H18:H19"/>
    <mergeCell ref="I18:I19"/>
    <mergeCell ref="G20:G22"/>
    <mergeCell ref="H20:H22"/>
    <mergeCell ref="I20:I22"/>
    <mergeCell ref="Z16:Z22"/>
    <mergeCell ref="AA16:AA22"/>
    <mergeCell ref="P16:P22"/>
    <mergeCell ref="Q16:Q22"/>
    <mergeCell ref="R16:R22"/>
    <mergeCell ref="S16:S22"/>
    <mergeCell ref="T16:T22"/>
    <mergeCell ref="U16:U22"/>
    <mergeCell ref="N14:N15"/>
    <mergeCell ref="O14:O15"/>
    <mergeCell ref="N16:N22"/>
    <mergeCell ref="O16:O22"/>
    <mergeCell ref="AA10:AA11"/>
    <mergeCell ref="G13:G15"/>
    <mergeCell ref="H13:H15"/>
    <mergeCell ref="I13:I15"/>
    <mergeCell ref="J13:J14"/>
    <mergeCell ref="K13:K14"/>
    <mergeCell ref="L13:L14"/>
    <mergeCell ref="M13:M14"/>
    <mergeCell ref="Z13:Z15"/>
    <mergeCell ref="AA13:AA15"/>
    <mergeCell ref="U10:U11"/>
    <mergeCell ref="V10:V11"/>
    <mergeCell ref="W10:W11"/>
    <mergeCell ref="X10:X11"/>
    <mergeCell ref="Y10:Y11"/>
    <mergeCell ref="Z10:Z11"/>
    <mergeCell ref="O10:O11"/>
    <mergeCell ref="P10:P11"/>
    <mergeCell ref="Q10:Q11"/>
    <mergeCell ref="R10:R11"/>
    <mergeCell ref="S10:S11"/>
    <mergeCell ref="T10:T11"/>
    <mergeCell ref="C9:C23"/>
    <mergeCell ref="D9:D23"/>
    <mergeCell ref="E9:E15"/>
    <mergeCell ref="F9:F15"/>
    <mergeCell ref="G10:G12"/>
    <mergeCell ref="H10:H12"/>
    <mergeCell ref="I10:I12"/>
    <mergeCell ref="N10:N11"/>
    <mergeCell ref="N7:O7"/>
    <mergeCell ref="C2:AA2"/>
    <mergeCell ref="C3:AA3"/>
    <mergeCell ref="C4:AA4"/>
    <mergeCell ref="C6:M6"/>
    <mergeCell ref="N6:AA6"/>
    <mergeCell ref="C7:C8"/>
    <mergeCell ref="D7:D8"/>
    <mergeCell ref="E7:F7"/>
    <mergeCell ref="G7:I7"/>
    <mergeCell ref="J7:M7"/>
    <mergeCell ref="Z7:Z8"/>
    <mergeCell ref="AA7:AA8"/>
    <mergeCell ref="P7:Q7"/>
    <mergeCell ref="R7:R8"/>
    <mergeCell ref="S7:S8"/>
    <mergeCell ref="T7:V7"/>
    <mergeCell ref="W7:Y7"/>
  </mergeCells>
  <conditionalFormatting sqref="V9:V10 Y10 Y43:Y68 V43:V68 Y70 V70">
    <cfRule type="cellIs" dxfId="38" priority="10" stopIfTrue="1" operator="greaterThanOrEqual">
      <formula>80.01%</formula>
    </cfRule>
    <cfRule type="cellIs" dxfId="37" priority="11" stopIfTrue="1" operator="between">
      <formula>0.501</formula>
      <formula>0.8</formula>
    </cfRule>
    <cfRule type="cellIs" dxfId="36" priority="12" stopIfTrue="1" operator="lessThanOrEqual">
      <formula>0.5</formula>
    </cfRule>
  </conditionalFormatting>
  <conditionalFormatting sqref="Y9">
    <cfRule type="cellIs" dxfId="35" priority="7" stopIfTrue="1" operator="greaterThanOrEqual">
      <formula>80.01%</formula>
    </cfRule>
    <cfRule type="cellIs" dxfId="34" priority="8" stopIfTrue="1" operator="between">
      <formula>0.501</formula>
      <formula>0.8</formula>
    </cfRule>
    <cfRule type="cellIs" dxfId="33" priority="9" stopIfTrue="1" operator="lessThanOrEqual">
      <formula>0.5</formula>
    </cfRule>
  </conditionalFormatting>
  <conditionalFormatting sqref="V12:V16 V23:V24 V72 V39:V40 V26:V37">
    <cfRule type="cellIs" dxfId="32" priority="4" stopIfTrue="1" operator="greaterThanOrEqual">
      <formula>80.01%</formula>
    </cfRule>
    <cfRule type="cellIs" dxfId="31" priority="5" stopIfTrue="1" operator="between">
      <formula>0.501</formula>
      <formula>0.8</formula>
    </cfRule>
    <cfRule type="cellIs" dxfId="30" priority="6" stopIfTrue="1" operator="lessThanOrEqual">
      <formula>0.5</formula>
    </cfRule>
  </conditionalFormatting>
  <conditionalFormatting sqref="Y12:Y16 Y23:Y24 Y72 Y39:Y40 Y26:Y37">
    <cfRule type="cellIs" dxfId="29" priority="1" stopIfTrue="1" operator="greaterThanOrEqual">
      <formula>80.01%</formula>
    </cfRule>
    <cfRule type="cellIs" dxfId="28" priority="2" stopIfTrue="1" operator="between">
      <formula>0.501</formula>
      <formula>0.8</formula>
    </cfRule>
    <cfRule type="cellIs" dxfId="27" priority="3" stopIfTrue="1" operator="lessThanOrEqual">
      <formula>0.5</formula>
    </cfRule>
  </conditionalFormatting>
  <pageMargins left="0.39370078740157483" right="0.19685039370078741" top="0.59055118110236227" bottom="0.19685039370078741" header="0.31496062992125984" footer="0"/>
  <pageSetup paperSize="5" scale="23" orientation="landscape" r:id="rId1"/>
  <headerFooter alignWithMargins="0">
    <oddFooter>Página &amp;P de &amp;F</oddFooter>
  </headerFooter>
  <rowBreaks count="6" manualBreakCount="6">
    <brk id="23" max="16383" man="1"/>
    <brk id="31" max="27" man="1"/>
    <brk id="43" max="16383" man="1"/>
    <brk id="54" max="16383" man="1"/>
    <brk id="63" max="16383" man="1"/>
    <brk id="71" max="16383" man="1"/>
  </rowBreaks>
  <colBreaks count="1" manualBreakCount="1">
    <brk id="28" max="73" man="1"/>
  </col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70"/>
  <sheetViews>
    <sheetView view="pageBreakPreview" topLeftCell="P32" zoomScale="40" zoomScaleNormal="70" zoomScaleSheetLayoutView="40" workbookViewId="0">
      <selection activeCell="Z28" sqref="Z28"/>
    </sheetView>
  </sheetViews>
  <sheetFormatPr baseColWidth="10" defaultRowHeight="22.5" x14ac:dyDescent="0.35"/>
  <cols>
    <col min="1" max="1" width="2.85546875" style="1" customWidth="1"/>
    <col min="2" max="2" width="2" style="1" customWidth="1"/>
    <col min="3" max="4" width="10.140625" style="1" customWidth="1"/>
    <col min="5" max="5" width="7" style="6" customWidth="1"/>
    <col min="6" max="6" width="12.85546875" style="29" customWidth="1"/>
    <col min="7" max="7" width="7.7109375" style="6" customWidth="1"/>
    <col min="8" max="8" width="47.140625" style="30" customWidth="1"/>
    <col min="9" max="9" width="12.28515625" style="31" customWidth="1"/>
    <col min="10" max="10" width="11.42578125" style="6" customWidth="1"/>
    <col min="11" max="11" width="48.28515625" style="30" customWidth="1"/>
    <col min="12" max="12" width="11.5703125" style="32" customWidth="1"/>
    <col min="13" max="13" width="12.42578125" style="6" customWidth="1"/>
    <col min="14" max="14" width="15" style="6" customWidth="1"/>
    <col min="15" max="15" width="43.140625" style="6" customWidth="1"/>
    <col min="16" max="16" width="16.85546875" style="6" customWidth="1"/>
    <col min="17" max="17" width="42.85546875" style="6" customWidth="1"/>
    <col min="18" max="18" width="40.42578125" style="6" customWidth="1"/>
    <col min="19" max="19" width="24.28515625" style="6" customWidth="1"/>
    <col min="20" max="20" width="28.7109375" style="6" customWidth="1"/>
    <col min="21" max="21" width="29.140625" style="6" customWidth="1"/>
    <col min="22" max="22" width="23" style="6" customWidth="1"/>
    <col min="23" max="23" width="29.7109375" style="6" customWidth="1"/>
    <col min="24" max="24" width="29.42578125" style="6" customWidth="1"/>
    <col min="25" max="25" width="22.28515625" style="6" customWidth="1"/>
    <col min="26" max="26" width="75.7109375" style="6" customWidth="1"/>
    <col min="27" max="27" width="77.42578125" style="6" customWidth="1"/>
    <col min="28" max="28" width="6.140625" style="6" customWidth="1"/>
    <col min="29" max="29" width="12.42578125" style="6" customWidth="1"/>
    <col min="30" max="30" width="23.7109375" style="6" customWidth="1"/>
    <col min="31" max="31" width="10.28515625" style="6" customWidth="1"/>
    <col min="32" max="32" width="8" style="6" customWidth="1"/>
    <col min="33" max="16384" width="11.42578125" style="6"/>
  </cols>
  <sheetData>
    <row r="1" spans="3:39" ht="7.5" customHeight="1" x14ac:dyDescent="0.35">
      <c r="E1" s="1"/>
      <c r="F1" s="2"/>
      <c r="G1" s="1"/>
      <c r="H1" s="3"/>
      <c r="I1" s="4"/>
      <c r="J1" s="1"/>
      <c r="K1" s="3"/>
      <c r="L1" s="5"/>
      <c r="M1" s="1"/>
      <c r="N1" s="1"/>
      <c r="O1" s="1"/>
      <c r="P1" s="1"/>
      <c r="Q1" s="1"/>
      <c r="R1" s="1"/>
      <c r="S1" s="1"/>
      <c r="T1" s="1"/>
      <c r="U1" s="1"/>
      <c r="V1" s="1"/>
      <c r="W1" s="1"/>
      <c r="X1" s="1"/>
      <c r="Y1" s="1"/>
      <c r="Z1" s="1"/>
      <c r="AA1" s="1"/>
      <c r="AB1" s="1"/>
      <c r="AC1" s="1"/>
      <c r="AD1" s="1"/>
      <c r="AE1" s="1"/>
    </row>
    <row r="2" spans="3:39" ht="42" customHeight="1" x14ac:dyDescent="0.25">
      <c r="C2" s="910" t="s">
        <v>0</v>
      </c>
      <c r="D2" s="910"/>
      <c r="E2" s="910"/>
      <c r="F2" s="910"/>
      <c r="G2" s="910"/>
      <c r="H2" s="910"/>
      <c r="I2" s="910"/>
      <c r="J2" s="910"/>
      <c r="K2" s="910"/>
      <c r="L2" s="910"/>
      <c r="M2" s="910"/>
      <c r="N2" s="910"/>
      <c r="O2" s="910"/>
      <c r="P2" s="910"/>
      <c r="Q2" s="910"/>
      <c r="R2" s="910"/>
      <c r="S2" s="910"/>
      <c r="T2" s="910"/>
      <c r="U2" s="910"/>
      <c r="V2" s="910"/>
      <c r="W2" s="910"/>
      <c r="X2" s="910"/>
      <c r="Y2" s="910"/>
      <c r="Z2" s="910"/>
      <c r="AA2" s="910"/>
      <c r="AB2" s="7"/>
      <c r="AC2" s="7"/>
      <c r="AD2" s="7"/>
      <c r="AE2" s="1"/>
    </row>
    <row r="3" spans="3:39" ht="27" customHeight="1" x14ac:dyDescent="0.25">
      <c r="C3" s="910" t="s">
        <v>676</v>
      </c>
      <c r="D3" s="910"/>
      <c r="E3" s="910"/>
      <c r="F3" s="910"/>
      <c r="G3" s="910"/>
      <c r="H3" s="910"/>
      <c r="I3" s="910"/>
      <c r="J3" s="910"/>
      <c r="K3" s="910"/>
      <c r="L3" s="910"/>
      <c r="M3" s="910"/>
      <c r="N3" s="910"/>
      <c r="O3" s="910"/>
      <c r="P3" s="910"/>
      <c r="Q3" s="910"/>
      <c r="R3" s="910"/>
      <c r="S3" s="910"/>
      <c r="T3" s="910"/>
      <c r="U3" s="910"/>
      <c r="V3" s="910"/>
      <c r="W3" s="910"/>
      <c r="X3" s="910"/>
      <c r="Y3" s="910"/>
      <c r="Z3" s="910"/>
      <c r="AA3" s="910"/>
      <c r="AB3" s="7"/>
      <c r="AC3" s="7"/>
      <c r="AD3" s="7"/>
      <c r="AE3" s="1"/>
    </row>
    <row r="4" spans="3:39" ht="36" customHeight="1" x14ac:dyDescent="0.25">
      <c r="C4" s="911" t="s">
        <v>788</v>
      </c>
      <c r="D4" s="911"/>
      <c r="E4" s="911"/>
      <c r="F4" s="911"/>
      <c r="G4" s="911"/>
      <c r="H4" s="911"/>
      <c r="I4" s="911"/>
      <c r="J4" s="911"/>
      <c r="K4" s="911"/>
      <c r="L4" s="911"/>
      <c r="M4" s="911"/>
      <c r="N4" s="911"/>
      <c r="O4" s="911"/>
      <c r="P4" s="911"/>
      <c r="Q4" s="911"/>
      <c r="R4" s="911"/>
      <c r="S4" s="911"/>
      <c r="T4" s="911"/>
      <c r="U4" s="911"/>
      <c r="V4" s="911"/>
      <c r="W4" s="911"/>
      <c r="X4" s="911"/>
      <c r="Y4" s="911"/>
      <c r="Z4" s="911"/>
      <c r="AA4" s="911"/>
      <c r="AB4" s="612"/>
      <c r="AC4" s="612"/>
      <c r="AD4" s="612"/>
      <c r="AE4" s="1"/>
    </row>
    <row r="5" spans="3:39" ht="19.5" customHeight="1" thickBot="1" x14ac:dyDescent="0.3">
      <c r="E5" s="8"/>
      <c r="F5" s="8"/>
      <c r="G5" s="8"/>
      <c r="H5" s="8"/>
      <c r="I5" s="8"/>
      <c r="J5" s="8"/>
      <c r="K5" s="8"/>
      <c r="L5" s="8"/>
      <c r="M5" s="8"/>
      <c r="N5" s="8"/>
      <c r="O5" s="8"/>
      <c r="P5" s="8"/>
      <c r="Q5" s="8"/>
      <c r="R5" s="8"/>
      <c r="S5" s="8"/>
      <c r="T5" s="8"/>
      <c r="U5" s="8"/>
      <c r="V5" s="8"/>
      <c r="W5" s="8"/>
      <c r="X5" s="8"/>
      <c r="Y5" s="8"/>
      <c r="Z5" s="8"/>
      <c r="AA5" s="8"/>
      <c r="AB5" s="8"/>
      <c r="AC5" s="8"/>
      <c r="AD5" s="8"/>
      <c r="AE5" s="1"/>
    </row>
    <row r="6" spans="3:39" ht="42.75" customHeight="1" thickBot="1" x14ac:dyDescent="0.3">
      <c r="C6" s="912" t="s">
        <v>1</v>
      </c>
      <c r="D6" s="913"/>
      <c r="E6" s="913"/>
      <c r="F6" s="913"/>
      <c r="G6" s="913"/>
      <c r="H6" s="913"/>
      <c r="I6" s="913"/>
      <c r="J6" s="913"/>
      <c r="K6" s="913"/>
      <c r="L6" s="913"/>
      <c r="M6" s="914"/>
      <c r="N6" s="915" t="s">
        <v>2</v>
      </c>
      <c r="O6" s="916"/>
      <c r="P6" s="916"/>
      <c r="Q6" s="916"/>
      <c r="R6" s="916"/>
      <c r="S6" s="916"/>
      <c r="T6" s="916"/>
      <c r="U6" s="916"/>
      <c r="V6" s="916"/>
      <c r="W6" s="916"/>
      <c r="X6" s="916"/>
      <c r="Y6" s="916"/>
      <c r="Z6" s="916"/>
      <c r="AA6" s="917"/>
      <c r="AB6" s="9"/>
      <c r="AC6" s="9"/>
      <c r="AD6" s="9"/>
      <c r="AE6" s="1"/>
    </row>
    <row r="7" spans="3:39" ht="56.25" customHeight="1" thickBot="1" x14ac:dyDescent="0.3">
      <c r="C7" s="918" t="s">
        <v>3</v>
      </c>
      <c r="D7" s="918" t="s">
        <v>4</v>
      </c>
      <c r="E7" s="920" t="s">
        <v>5</v>
      </c>
      <c r="F7" s="921"/>
      <c r="G7" s="922" t="s">
        <v>6</v>
      </c>
      <c r="H7" s="923"/>
      <c r="I7" s="924"/>
      <c r="J7" s="922" t="s">
        <v>7</v>
      </c>
      <c r="K7" s="923"/>
      <c r="L7" s="923"/>
      <c r="M7" s="924"/>
      <c r="N7" s="898" t="s">
        <v>6</v>
      </c>
      <c r="O7" s="899"/>
      <c r="P7" s="898" t="s">
        <v>7</v>
      </c>
      <c r="Q7" s="899"/>
      <c r="R7" s="900" t="s">
        <v>8</v>
      </c>
      <c r="S7" s="902" t="s">
        <v>9</v>
      </c>
      <c r="T7" s="898" t="s">
        <v>678</v>
      </c>
      <c r="U7" s="904"/>
      <c r="V7" s="899"/>
      <c r="W7" s="905" t="s">
        <v>792</v>
      </c>
      <c r="X7" s="906"/>
      <c r="Y7" s="907"/>
      <c r="Z7" s="925" t="s">
        <v>266</v>
      </c>
      <c r="AA7" s="925" t="s">
        <v>267</v>
      </c>
      <c r="AB7" s="10"/>
      <c r="AC7" s="10"/>
      <c r="AD7" s="10"/>
      <c r="AE7" s="1"/>
    </row>
    <row r="8" spans="3:39" ht="94.5" customHeight="1" thickBot="1" x14ac:dyDescent="0.3">
      <c r="C8" s="919"/>
      <c r="D8" s="919"/>
      <c r="E8" s="66" t="s">
        <v>10</v>
      </c>
      <c r="F8" s="66" t="s">
        <v>11</v>
      </c>
      <c r="G8" s="66" t="s">
        <v>10</v>
      </c>
      <c r="H8" s="71" t="s">
        <v>12</v>
      </c>
      <c r="I8" s="66" t="s">
        <v>13</v>
      </c>
      <c r="J8" s="66" t="s">
        <v>10</v>
      </c>
      <c r="K8" s="71" t="s">
        <v>14</v>
      </c>
      <c r="L8" s="66" t="s">
        <v>15</v>
      </c>
      <c r="M8" s="66" t="s">
        <v>16</v>
      </c>
      <c r="N8" s="600" t="s">
        <v>17</v>
      </c>
      <c r="O8" s="601" t="s">
        <v>12</v>
      </c>
      <c r="P8" s="67" t="s">
        <v>17</v>
      </c>
      <c r="Q8" s="601" t="s">
        <v>14</v>
      </c>
      <c r="R8" s="901"/>
      <c r="S8" s="903"/>
      <c r="T8" s="68" t="s">
        <v>680</v>
      </c>
      <c r="U8" s="68" t="s">
        <v>679</v>
      </c>
      <c r="V8" s="68" t="s">
        <v>265</v>
      </c>
      <c r="W8" s="68" t="s">
        <v>791</v>
      </c>
      <c r="X8" s="68" t="s">
        <v>790</v>
      </c>
      <c r="Y8" s="68" t="s">
        <v>265</v>
      </c>
      <c r="Z8" s="926"/>
      <c r="AA8" s="926"/>
      <c r="AB8" s="10"/>
      <c r="AC8" s="10"/>
      <c r="AD8" s="10"/>
      <c r="AE8" s="1"/>
    </row>
    <row r="9" spans="3:39" ht="157.5" customHeight="1" thickBot="1" x14ac:dyDescent="0.3">
      <c r="C9" s="885" t="s">
        <v>18</v>
      </c>
      <c r="D9" s="888" t="s">
        <v>19</v>
      </c>
      <c r="E9" s="891">
        <v>1</v>
      </c>
      <c r="F9" s="893" t="s">
        <v>20</v>
      </c>
      <c r="G9" s="95">
        <v>101</v>
      </c>
      <c r="H9" s="96" t="s">
        <v>21</v>
      </c>
      <c r="I9" s="97">
        <v>0.6</v>
      </c>
      <c r="J9" s="595" t="s">
        <v>22</v>
      </c>
      <c r="K9" s="96" t="s">
        <v>23</v>
      </c>
      <c r="L9" s="98" t="s">
        <v>24</v>
      </c>
      <c r="M9" s="99">
        <v>1</v>
      </c>
      <c r="N9" s="613" t="s">
        <v>25</v>
      </c>
      <c r="O9" s="542" t="s">
        <v>26</v>
      </c>
      <c r="P9" s="543" t="s">
        <v>27</v>
      </c>
      <c r="Q9" s="544" t="s">
        <v>306</v>
      </c>
      <c r="R9" s="545" t="s">
        <v>677</v>
      </c>
      <c r="S9" s="546" t="s">
        <v>28</v>
      </c>
      <c r="T9" s="547">
        <v>618047</v>
      </c>
      <c r="U9" s="548">
        <v>835660</v>
      </c>
      <c r="V9" s="549">
        <f>+U9/T9</f>
        <v>1.3520978178035004</v>
      </c>
      <c r="W9" s="550">
        <f>+T9</f>
        <v>618047</v>
      </c>
      <c r="X9" s="551">
        <f>+U9</f>
        <v>835660</v>
      </c>
      <c r="Y9" s="549">
        <f>+X9/W9</f>
        <v>1.3520978178035004</v>
      </c>
      <c r="Z9" s="139" t="s">
        <v>763</v>
      </c>
      <c r="AA9" s="249" t="s">
        <v>294</v>
      </c>
      <c r="AB9" s="11"/>
      <c r="AC9" s="12"/>
      <c r="AD9" s="91"/>
      <c r="AE9" s="1"/>
    </row>
    <row r="10" spans="3:39" ht="81" customHeight="1" thickBot="1" x14ac:dyDescent="0.3">
      <c r="C10" s="886"/>
      <c r="D10" s="889"/>
      <c r="E10" s="892"/>
      <c r="F10" s="894"/>
      <c r="G10" s="832">
        <v>102</v>
      </c>
      <c r="H10" s="835" t="s">
        <v>29</v>
      </c>
      <c r="I10" s="895">
        <v>0.2</v>
      </c>
      <c r="J10" s="595" t="s">
        <v>30</v>
      </c>
      <c r="K10" s="598" t="s">
        <v>31</v>
      </c>
      <c r="L10" s="602" t="s">
        <v>24</v>
      </c>
      <c r="M10" s="604">
        <v>0.4</v>
      </c>
      <c r="N10" s="983" t="s">
        <v>32</v>
      </c>
      <c r="O10" s="1023" t="s">
        <v>33</v>
      </c>
      <c r="P10" s="1025" t="s">
        <v>34</v>
      </c>
      <c r="Q10" s="1023" t="s">
        <v>331</v>
      </c>
      <c r="R10" s="1027" t="s">
        <v>305</v>
      </c>
      <c r="S10" s="1027" t="s">
        <v>28</v>
      </c>
      <c r="T10" s="1001">
        <v>44980</v>
      </c>
      <c r="U10" s="1001">
        <v>60793</v>
      </c>
      <c r="V10" s="1003">
        <f t="shared" ref="V10:V64" si="0">+U10/T10</f>
        <v>1.351556247220987</v>
      </c>
      <c r="W10" s="1001">
        <f>+T10</f>
        <v>44980</v>
      </c>
      <c r="X10" s="1005">
        <f>+U10</f>
        <v>60793</v>
      </c>
      <c r="Y10" s="1003">
        <f t="shared" ref="Y10:Y64" si="1">+X10/W10</f>
        <v>1.351556247220987</v>
      </c>
      <c r="Z10" s="773" t="s">
        <v>734</v>
      </c>
      <c r="AA10" s="969" t="s">
        <v>735</v>
      </c>
      <c r="AB10" s="11"/>
      <c r="AC10" s="12"/>
      <c r="AD10" s="13"/>
      <c r="AE10" s="1"/>
    </row>
    <row r="11" spans="3:39" ht="96.75" customHeight="1" thickBot="1" x14ac:dyDescent="0.3">
      <c r="C11" s="886"/>
      <c r="D11" s="889"/>
      <c r="E11" s="892"/>
      <c r="F11" s="894"/>
      <c r="G11" s="833"/>
      <c r="H11" s="836"/>
      <c r="I11" s="896"/>
      <c r="J11" s="14" t="s">
        <v>35</v>
      </c>
      <c r="K11" s="47" t="s">
        <v>36</v>
      </c>
      <c r="L11" s="602" t="s">
        <v>24</v>
      </c>
      <c r="M11" s="44">
        <v>0.3</v>
      </c>
      <c r="N11" s="984"/>
      <c r="O11" s="1024"/>
      <c r="P11" s="1026"/>
      <c r="Q11" s="1024"/>
      <c r="R11" s="1028"/>
      <c r="S11" s="1028"/>
      <c r="T11" s="1002"/>
      <c r="U11" s="1002"/>
      <c r="V11" s="1004"/>
      <c r="W11" s="1002"/>
      <c r="X11" s="1006"/>
      <c r="Y11" s="1004"/>
      <c r="Z11" s="774"/>
      <c r="AA11" s="970"/>
      <c r="AB11" s="11"/>
      <c r="AC11" s="12"/>
      <c r="AD11" s="12"/>
      <c r="AE11" s="1"/>
    </row>
    <row r="12" spans="3:39" ht="260.25" customHeight="1" thickBot="1" x14ac:dyDescent="0.3">
      <c r="C12" s="886"/>
      <c r="D12" s="889"/>
      <c r="E12" s="892"/>
      <c r="F12" s="894"/>
      <c r="G12" s="834"/>
      <c r="H12" s="837"/>
      <c r="I12" s="897"/>
      <c r="J12" s="14" t="s">
        <v>37</v>
      </c>
      <c r="K12" s="47" t="s">
        <v>703</v>
      </c>
      <c r="L12" s="72" t="s">
        <v>24</v>
      </c>
      <c r="M12" s="44">
        <v>0.3</v>
      </c>
      <c r="N12" s="577" t="s">
        <v>39</v>
      </c>
      <c r="O12" s="552" t="s">
        <v>720</v>
      </c>
      <c r="P12" s="553" t="s">
        <v>40</v>
      </c>
      <c r="Q12" s="552" t="s">
        <v>681</v>
      </c>
      <c r="R12" s="546" t="s">
        <v>748</v>
      </c>
      <c r="S12" s="546" t="s">
        <v>682</v>
      </c>
      <c r="T12" s="554">
        <v>2</v>
      </c>
      <c r="U12" s="554">
        <v>0</v>
      </c>
      <c r="V12" s="549">
        <f t="shared" si="0"/>
        <v>0</v>
      </c>
      <c r="W12" s="554">
        <f>+T12</f>
        <v>2</v>
      </c>
      <c r="X12" s="554">
        <f>+U12</f>
        <v>0</v>
      </c>
      <c r="Y12" s="549">
        <f t="shared" si="1"/>
        <v>0</v>
      </c>
      <c r="Z12" s="555" t="s">
        <v>510</v>
      </c>
      <c r="AA12" s="254" t="s">
        <v>789</v>
      </c>
      <c r="AB12" s="11"/>
      <c r="AC12" s="12"/>
      <c r="AD12" s="12"/>
      <c r="AE12" s="1"/>
    </row>
    <row r="13" spans="3:39" ht="39" customHeight="1" x14ac:dyDescent="0.25">
      <c r="C13" s="886"/>
      <c r="D13" s="889"/>
      <c r="E13" s="892"/>
      <c r="F13" s="894"/>
      <c r="G13" s="1032">
        <v>103</v>
      </c>
      <c r="H13" s="871" t="s">
        <v>43</v>
      </c>
      <c r="I13" s="1035">
        <v>0.2</v>
      </c>
      <c r="J13" s="1038" t="s">
        <v>44</v>
      </c>
      <c r="K13" s="871" t="s">
        <v>45</v>
      </c>
      <c r="L13" s="873" t="s">
        <v>24</v>
      </c>
      <c r="M13" s="810">
        <v>0.5</v>
      </c>
      <c r="N13" s="989"/>
      <c r="O13" s="992" t="s">
        <v>683</v>
      </c>
      <c r="P13" s="993"/>
      <c r="Q13" s="993"/>
      <c r="R13" s="993"/>
      <c r="S13" s="993"/>
      <c r="T13" s="993"/>
      <c r="U13" s="993"/>
      <c r="V13" s="993"/>
      <c r="W13" s="993"/>
      <c r="X13" s="993"/>
      <c r="Y13" s="994"/>
      <c r="Z13" s="1029" t="s">
        <v>683</v>
      </c>
      <c r="AA13" s="1017" t="s">
        <v>293</v>
      </c>
      <c r="AB13" s="11"/>
      <c r="AC13" s="12"/>
      <c r="AD13" s="12"/>
      <c r="AE13" s="76"/>
      <c r="AG13" s="77">
        <f>20+20+40+90</f>
        <v>170</v>
      </c>
      <c r="AH13" s="77">
        <f>+AG13-440</f>
        <v>-270</v>
      </c>
      <c r="AI13" s="77">
        <v>135</v>
      </c>
      <c r="AJ13" s="77">
        <v>75</v>
      </c>
      <c r="AK13" s="77">
        <f>+AJ13+AI13</f>
        <v>210</v>
      </c>
    </row>
    <row r="14" spans="3:39" ht="36" customHeight="1" thickBot="1" x14ac:dyDescent="0.3">
      <c r="C14" s="886"/>
      <c r="D14" s="889"/>
      <c r="E14" s="892"/>
      <c r="F14" s="894"/>
      <c r="G14" s="1033"/>
      <c r="H14" s="959"/>
      <c r="I14" s="1036"/>
      <c r="J14" s="1039"/>
      <c r="K14" s="872"/>
      <c r="L14" s="874"/>
      <c r="M14" s="812"/>
      <c r="N14" s="990"/>
      <c r="O14" s="995"/>
      <c r="P14" s="996"/>
      <c r="Q14" s="996"/>
      <c r="R14" s="996"/>
      <c r="S14" s="996"/>
      <c r="T14" s="996"/>
      <c r="U14" s="996"/>
      <c r="V14" s="996"/>
      <c r="W14" s="996"/>
      <c r="X14" s="996"/>
      <c r="Y14" s="997"/>
      <c r="Z14" s="1030"/>
      <c r="AA14" s="1018"/>
      <c r="AB14" s="11"/>
      <c r="AC14" s="12"/>
      <c r="AD14" s="12"/>
      <c r="AE14" s="76"/>
      <c r="AG14" s="77"/>
      <c r="AH14" s="77"/>
      <c r="AI14" s="77"/>
      <c r="AK14" s="77">
        <v>270</v>
      </c>
      <c r="AM14" s="6">
        <v>145</v>
      </c>
    </row>
    <row r="15" spans="3:39" ht="66" customHeight="1" thickBot="1" x14ac:dyDescent="0.3">
      <c r="C15" s="886"/>
      <c r="D15" s="889"/>
      <c r="E15" s="892"/>
      <c r="F15" s="894"/>
      <c r="G15" s="1034"/>
      <c r="H15" s="872"/>
      <c r="I15" s="1037"/>
      <c r="J15" s="596" t="s">
        <v>50</v>
      </c>
      <c r="K15" s="607" t="s">
        <v>287</v>
      </c>
      <c r="L15" s="608" t="s">
        <v>24</v>
      </c>
      <c r="M15" s="606">
        <v>0.5</v>
      </c>
      <c r="N15" s="991"/>
      <c r="O15" s="998"/>
      <c r="P15" s="999"/>
      <c r="Q15" s="999"/>
      <c r="R15" s="999"/>
      <c r="S15" s="999"/>
      <c r="T15" s="999"/>
      <c r="U15" s="999"/>
      <c r="V15" s="999"/>
      <c r="W15" s="999"/>
      <c r="X15" s="999"/>
      <c r="Y15" s="1000"/>
      <c r="Z15" s="1031"/>
      <c r="AA15" s="1019"/>
      <c r="AB15" s="11"/>
      <c r="AC15" s="12"/>
      <c r="AD15" s="12"/>
      <c r="AE15" s="1"/>
      <c r="AK15" s="77">
        <f>+AK14-AK13</f>
        <v>60</v>
      </c>
      <c r="AM15" s="6">
        <v>90</v>
      </c>
    </row>
    <row r="16" spans="3:39" ht="114.75" customHeight="1" thickBot="1" x14ac:dyDescent="0.3">
      <c r="C16" s="886"/>
      <c r="D16" s="889"/>
      <c r="E16" s="850">
        <v>2</v>
      </c>
      <c r="F16" s="853" t="s">
        <v>52</v>
      </c>
      <c r="G16" s="878">
        <v>201</v>
      </c>
      <c r="H16" s="835" t="s">
        <v>283</v>
      </c>
      <c r="I16" s="868">
        <v>0.3</v>
      </c>
      <c r="J16" s="15" t="s">
        <v>53</v>
      </c>
      <c r="K16" s="47" t="s">
        <v>54</v>
      </c>
      <c r="L16" s="73" t="s">
        <v>24</v>
      </c>
      <c r="M16" s="44">
        <v>0.5</v>
      </c>
      <c r="N16" s="983" t="s">
        <v>98</v>
      </c>
      <c r="O16" s="986" t="s">
        <v>56</v>
      </c>
      <c r="P16" s="1007" t="s">
        <v>99</v>
      </c>
      <c r="Q16" s="986" t="s">
        <v>351</v>
      </c>
      <c r="R16" s="1020" t="s">
        <v>58</v>
      </c>
      <c r="S16" s="1020" t="s">
        <v>42</v>
      </c>
      <c r="T16" s="1010">
        <v>0</v>
      </c>
      <c r="U16" s="1010">
        <v>0</v>
      </c>
      <c r="V16" s="1003" t="e">
        <f t="shared" si="0"/>
        <v>#DIV/0!</v>
      </c>
      <c r="W16" s="1010">
        <f>+T16</f>
        <v>0</v>
      </c>
      <c r="X16" s="1010">
        <f>+U16</f>
        <v>0</v>
      </c>
      <c r="Y16" s="1003" t="e">
        <f t="shared" si="1"/>
        <v>#DIV/0!</v>
      </c>
      <c r="Z16" s="1014" t="s">
        <v>795</v>
      </c>
      <c r="AA16" s="927" t="s">
        <v>740</v>
      </c>
      <c r="AB16" s="11"/>
      <c r="AC16" s="12"/>
      <c r="AD16" s="13"/>
      <c r="AE16" s="1"/>
      <c r="AK16" s="77">
        <f>+AK15-AK14</f>
        <v>-210</v>
      </c>
      <c r="AM16" s="6">
        <f>+AM15+AM14</f>
        <v>235</v>
      </c>
    </row>
    <row r="17" spans="3:33" ht="72" customHeight="1" thickBot="1" x14ac:dyDescent="0.3">
      <c r="C17" s="886"/>
      <c r="D17" s="889"/>
      <c r="E17" s="851"/>
      <c r="F17" s="854"/>
      <c r="G17" s="879"/>
      <c r="H17" s="837"/>
      <c r="I17" s="869"/>
      <c r="J17" s="16" t="s">
        <v>59</v>
      </c>
      <c r="K17" s="598" t="s">
        <v>709</v>
      </c>
      <c r="L17" s="74" t="s">
        <v>24</v>
      </c>
      <c r="M17" s="604">
        <v>0.5</v>
      </c>
      <c r="N17" s="985"/>
      <c r="O17" s="987"/>
      <c r="P17" s="1008"/>
      <c r="Q17" s="987"/>
      <c r="R17" s="1021"/>
      <c r="S17" s="1021"/>
      <c r="T17" s="1011"/>
      <c r="U17" s="1011"/>
      <c r="V17" s="1013"/>
      <c r="W17" s="1011"/>
      <c r="X17" s="1011"/>
      <c r="Y17" s="1013"/>
      <c r="Z17" s="1015"/>
      <c r="AA17" s="932"/>
      <c r="AB17" s="11"/>
      <c r="AC17" s="12"/>
      <c r="AD17" s="13"/>
      <c r="AE17" s="1"/>
    </row>
    <row r="18" spans="3:33" ht="54.75" customHeight="1" thickBot="1" x14ac:dyDescent="0.3">
      <c r="C18" s="886"/>
      <c r="D18" s="889"/>
      <c r="E18" s="851"/>
      <c r="F18" s="854"/>
      <c r="G18" s="878">
        <v>202</v>
      </c>
      <c r="H18" s="835" t="s">
        <v>281</v>
      </c>
      <c r="I18" s="868">
        <v>0.3</v>
      </c>
      <c r="J18" s="16" t="s">
        <v>61</v>
      </c>
      <c r="K18" s="598" t="s">
        <v>62</v>
      </c>
      <c r="L18" s="74" t="s">
        <v>24</v>
      </c>
      <c r="M18" s="604">
        <v>0.5</v>
      </c>
      <c r="N18" s="985"/>
      <c r="O18" s="987"/>
      <c r="P18" s="1008"/>
      <c r="Q18" s="987"/>
      <c r="R18" s="1021"/>
      <c r="S18" s="1021"/>
      <c r="T18" s="1011"/>
      <c r="U18" s="1011"/>
      <c r="V18" s="1013"/>
      <c r="W18" s="1011"/>
      <c r="X18" s="1011"/>
      <c r="Y18" s="1013"/>
      <c r="Z18" s="1015"/>
      <c r="AA18" s="932"/>
      <c r="AB18" s="11"/>
      <c r="AC18" s="12"/>
      <c r="AD18" s="13"/>
      <c r="AE18" s="1"/>
    </row>
    <row r="19" spans="3:33" ht="88.5" customHeight="1" thickBot="1" x14ac:dyDescent="0.3">
      <c r="C19" s="886"/>
      <c r="D19" s="889"/>
      <c r="E19" s="851"/>
      <c r="F19" s="854"/>
      <c r="G19" s="879"/>
      <c r="H19" s="837"/>
      <c r="I19" s="869"/>
      <c r="J19" s="15" t="s">
        <v>63</v>
      </c>
      <c r="K19" s="47" t="s">
        <v>64</v>
      </c>
      <c r="L19" s="73" t="s">
        <v>24</v>
      </c>
      <c r="M19" s="44">
        <v>0.5</v>
      </c>
      <c r="N19" s="985"/>
      <c r="O19" s="987"/>
      <c r="P19" s="1008"/>
      <c r="Q19" s="987"/>
      <c r="R19" s="1021"/>
      <c r="S19" s="1021"/>
      <c r="T19" s="1011"/>
      <c r="U19" s="1011"/>
      <c r="V19" s="1013"/>
      <c r="W19" s="1011"/>
      <c r="X19" s="1011"/>
      <c r="Y19" s="1013"/>
      <c r="Z19" s="1015"/>
      <c r="AA19" s="932"/>
      <c r="AB19" s="11"/>
      <c r="AC19" s="12"/>
      <c r="AD19" s="17"/>
      <c r="AE19" s="1"/>
    </row>
    <row r="20" spans="3:33" ht="66" customHeight="1" thickBot="1" x14ac:dyDescent="0.3">
      <c r="C20" s="886"/>
      <c r="D20" s="889"/>
      <c r="E20" s="851"/>
      <c r="F20" s="854"/>
      <c r="G20" s="878">
        <v>203</v>
      </c>
      <c r="H20" s="835" t="s">
        <v>282</v>
      </c>
      <c r="I20" s="868">
        <v>0.2</v>
      </c>
      <c r="J20" s="15" t="s">
        <v>65</v>
      </c>
      <c r="K20" s="47" t="s">
        <v>702</v>
      </c>
      <c r="L20" s="73" t="s">
        <v>24</v>
      </c>
      <c r="M20" s="44">
        <v>0.4</v>
      </c>
      <c r="N20" s="985"/>
      <c r="O20" s="987"/>
      <c r="P20" s="1008"/>
      <c r="Q20" s="987"/>
      <c r="R20" s="1021"/>
      <c r="S20" s="1021"/>
      <c r="T20" s="1011"/>
      <c r="U20" s="1011"/>
      <c r="V20" s="1013"/>
      <c r="W20" s="1011"/>
      <c r="X20" s="1011"/>
      <c r="Y20" s="1013"/>
      <c r="Z20" s="1015"/>
      <c r="AA20" s="932"/>
      <c r="AB20" s="11"/>
      <c r="AC20" s="12"/>
      <c r="AD20" s="12"/>
      <c r="AE20" s="1"/>
    </row>
    <row r="21" spans="3:33" ht="90" customHeight="1" thickBot="1" x14ac:dyDescent="0.3">
      <c r="C21" s="886"/>
      <c r="D21" s="889"/>
      <c r="E21" s="851"/>
      <c r="F21" s="854"/>
      <c r="G21" s="880"/>
      <c r="H21" s="836"/>
      <c r="I21" s="875"/>
      <c r="J21" s="15" t="s">
        <v>67</v>
      </c>
      <c r="K21" s="47" t="s">
        <v>68</v>
      </c>
      <c r="L21" s="73" t="s">
        <v>24</v>
      </c>
      <c r="M21" s="44">
        <v>0.3</v>
      </c>
      <c r="N21" s="985"/>
      <c r="O21" s="987"/>
      <c r="P21" s="1008"/>
      <c r="Q21" s="987"/>
      <c r="R21" s="1021"/>
      <c r="S21" s="1021"/>
      <c r="T21" s="1011"/>
      <c r="U21" s="1011"/>
      <c r="V21" s="1013"/>
      <c r="W21" s="1011"/>
      <c r="X21" s="1011"/>
      <c r="Y21" s="1013"/>
      <c r="Z21" s="1015"/>
      <c r="AA21" s="932"/>
      <c r="AB21" s="11"/>
      <c r="AC21" s="11"/>
      <c r="AD21" s="12"/>
      <c r="AE21" s="1"/>
    </row>
    <row r="22" spans="3:33" ht="89.25" customHeight="1" thickBot="1" x14ac:dyDescent="0.3">
      <c r="C22" s="886"/>
      <c r="D22" s="889"/>
      <c r="E22" s="852"/>
      <c r="F22" s="855"/>
      <c r="G22" s="879"/>
      <c r="H22" s="837"/>
      <c r="I22" s="869"/>
      <c r="J22" s="18" t="s">
        <v>67</v>
      </c>
      <c r="K22" s="48" t="s">
        <v>708</v>
      </c>
      <c r="L22" s="75" t="s">
        <v>24</v>
      </c>
      <c r="M22" s="45">
        <v>0.3</v>
      </c>
      <c r="N22" s="984"/>
      <c r="O22" s="988"/>
      <c r="P22" s="1009"/>
      <c r="Q22" s="988"/>
      <c r="R22" s="1022"/>
      <c r="S22" s="1022"/>
      <c r="T22" s="1012"/>
      <c r="U22" s="1012"/>
      <c r="V22" s="1004"/>
      <c r="W22" s="1012"/>
      <c r="X22" s="1012"/>
      <c r="Y22" s="1004"/>
      <c r="Z22" s="1016"/>
      <c r="AA22" s="819"/>
      <c r="AB22" s="11"/>
      <c r="AC22" s="11"/>
      <c r="AD22" s="11"/>
      <c r="AE22" s="1"/>
    </row>
    <row r="23" spans="3:33" ht="144" customHeight="1" thickBot="1" x14ac:dyDescent="0.3">
      <c r="C23" s="887"/>
      <c r="D23" s="890"/>
      <c r="E23" s="355">
        <v>3</v>
      </c>
      <c r="F23" s="356" t="s">
        <v>70</v>
      </c>
      <c r="G23" s="597">
        <v>301</v>
      </c>
      <c r="H23" s="599" t="s">
        <v>71</v>
      </c>
      <c r="I23" s="605">
        <v>0.1</v>
      </c>
      <c r="J23" s="19" t="s">
        <v>72</v>
      </c>
      <c r="K23" s="599" t="s">
        <v>288</v>
      </c>
      <c r="L23" s="73" t="s">
        <v>24</v>
      </c>
      <c r="M23" s="44">
        <v>1</v>
      </c>
      <c r="N23" s="577" t="s">
        <v>73</v>
      </c>
      <c r="O23" s="582" t="s">
        <v>74</v>
      </c>
      <c r="P23" s="577" t="s">
        <v>75</v>
      </c>
      <c r="Q23" s="582" t="s">
        <v>358</v>
      </c>
      <c r="R23" s="583" t="s">
        <v>76</v>
      </c>
      <c r="S23" s="583" t="s">
        <v>229</v>
      </c>
      <c r="T23" s="583">
        <v>0</v>
      </c>
      <c r="U23" s="583">
        <v>0</v>
      </c>
      <c r="V23" s="584" t="e">
        <f t="shared" si="0"/>
        <v>#DIV/0!</v>
      </c>
      <c r="W23" s="585">
        <f>+T23</f>
        <v>0</v>
      </c>
      <c r="X23" s="585">
        <f>+U23</f>
        <v>0</v>
      </c>
      <c r="Y23" s="584" t="e">
        <f t="shared" si="1"/>
        <v>#DIV/0!</v>
      </c>
      <c r="Z23" s="586" t="s">
        <v>736</v>
      </c>
      <c r="AA23" s="587" t="s">
        <v>294</v>
      </c>
      <c r="AB23" s="11"/>
      <c r="AC23" s="11"/>
      <c r="AD23" s="12"/>
      <c r="AE23" s="76"/>
    </row>
    <row r="24" spans="3:33" ht="341.25" customHeight="1" x14ac:dyDescent="0.25">
      <c r="C24" s="649"/>
      <c r="D24" s="648"/>
      <c r="E24" s="850">
        <v>3</v>
      </c>
      <c r="F24" s="615" t="s">
        <v>70</v>
      </c>
      <c r="G24" s="832">
        <v>302</v>
      </c>
      <c r="H24" s="835" t="s">
        <v>78</v>
      </c>
      <c r="I24" s="868">
        <v>0.1</v>
      </c>
      <c r="J24" s="841" t="s">
        <v>79</v>
      </c>
      <c r="K24" s="871" t="s">
        <v>707</v>
      </c>
      <c r="L24" s="873" t="s">
        <v>81</v>
      </c>
      <c r="M24" s="810">
        <v>0.5</v>
      </c>
      <c r="N24" s="983" t="s">
        <v>577</v>
      </c>
      <c r="O24" s="1048" t="s">
        <v>684</v>
      </c>
      <c r="P24" s="983" t="s">
        <v>576</v>
      </c>
      <c r="Q24" s="1048" t="s">
        <v>685</v>
      </c>
      <c r="R24" s="1046" t="s">
        <v>359</v>
      </c>
      <c r="S24" s="1046" t="s">
        <v>77</v>
      </c>
      <c r="T24" s="1046">
        <v>0.35</v>
      </c>
      <c r="U24" s="1046">
        <v>0.35</v>
      </c>
      <c r="V24" s="1042">
        <f t="shared" si="0"/>
        <v>1</v>
      </c>
      <c r="W24" s="1040">
        <f>+T24</f>
        <v>0.35</v>
      </c>
      <c r="X24" s="1040">
        <f>+U24</f>
        <v>0.35</v>
      </c>
      <c r="Y24" s="1042">
        <f t="shared" si="1"/>
        <v>1</v>
      </c>
      <c r="Z24" s="1044" t="s">
        <v>766</v>
      </c>
      <c r="AA24" s="951" t="s">
        <v>794</v>
      </c>
      <c r="AB24" s="11"/>
      <c r="AC24" s="11"/>
      <c r="AD24" s="11"/>
      <c r="AE24" s="1"/>
    </row>
    <row r="25" spans="3:33" ht="254.25" customHeight="1" thickBot="1" x14ac:dyDescent="0.3">
      <c r="C25" s="475"/>
      <c r="D25" s="473"/>
      <c r="E25" s="852"/>
      <c r="F25" s="616"/>
      <c r="G25" s="834"/>
      <c r="H25" s="837"/>
      <c r="I25" s="869"/>
      <c r="J25" s="843"/>
      <c r="K25" s="872"/>
      <c r="L25" s="874"/>
      <c r="M25" s="812"/>
      <c r="N25" s="984"/>
      <c r="O25" s="1049"/>
      <c r="P25" s="984"/>
      <c r="Q25" s="1049"/>
      <c r="R25" s="1047"/>
      <c r="S25" s="1047"/>
      <c r="T25" s="1047"/>
      <c r="U25" s="1047"/>
      <c r="V25" s="1043"/>
      <c r="W25" s="1041"/>
      <c r="X25" s="1041"/>
      <c r="Y25" s="1043"/>
      <c r="Z25" s="1045"/>
      <c r="AA25" s="952"/>
      <c r="AB25" s="11"/>
      <c r="AC25" s="11"/>
      <c r="AD25" s="11"/>
      <c r="AE25" s="1"/>
    </row>
    <row r="26" spans="3:33" ht="156" customHeight="1" thickBot="1" x14ac:dyDescent="0.3">
      <c r="C26" s="886" t="s">
        <v>18</v>
      </c>
      <c r="D26" s="889" t="s">
        <v>19</v>
      </c>
      <c r="E26" s="850">
        <v>3</v>
      </c>
      <c r="F26" s="853" t="s">
        <v>70</v>
      </c>
      <c r="G26" s="833">
        <v>303</v>
      </c>
      <c r="H26" s="836" t="s">
        <v>90</v>
      </c>
      <c r="I26" s="875">
        <v>0.3</v>
      </c>
      <c r="J26" s="842" t="s">
        <v>91</v>
      </c>
      <c r="K26" s="836" t="s">
        <v>289</v>
      </c>
      <c r="L26" s="845" t="s">
        <v>81</v>
      </c>
      <c r="M26" s="848">
        <v>1</v>
      </c>
      <c r="N26" s="985" t="s">
        <v>102</v>
      </c>
      <c r="O26" s="987" t="s">
        <v>93</v>
      </c>
      <c r="P26" s="639" t="s">
        <v>103</v>
      </c>
      <c r="Q26" s="637" t="s">
        <v>723</v>
      </c>
      <c r="R26" s="634" t="s">
        <v>95</v>
      </c>
      <c r="S26" s="634" t="s">
        <v>96</v>
      </c>
      <c r="T26" s="634">
        <v>0.7</v>
      </c>
      <c r="U26" s="633">
        <v>0.58489999999999998</v>
      </c>
      <c r="V26" s="561">
        <f t="shared" si="0"/>
        <v>0.83557142857142863</v>
      </c>
      <c r="W26" s="634">
        <f t="shared" ref="W26:X35" si="2">+T26</f>
        <v>0.7</v>
      </c>
      <c r="X26" s="633">
        <f t="shared" si="2"/>
        <v>0.58489999999999998</v>
      </c>
      <c r="Y26" s="561">
        <f t="shared" si="1"/>
        <v>0.83557142857142863</v>
      </c>
      <c r="Z26" s="627" t="s">
        <v>767</v>
      </c>
      <c r="AA26" s="632" t="s">
        <v>294</v>
      </c>
      <c r="AB26" s="11"/>
      <c r="AC26" s="11"/>
      <c r="AD26" s="80" t="s">
        <v>299</v>
      </c>
      <c r="AE26" s="1"/>
    </row>
    <row r="27" spans="3:33" ht="171.75" customHeight="1" thickBot="1" x14ac:dyDescent="0.3">
      <c r="C27" s="886"/>
      <c r="D27" s="889"/>
      <c r="E27" s="851"/>
      <c r="F27" s="854"/>
      <c r="G27" s="833"/>
      <c r="H27" s="836"/>
      <c r="I27" s="875"/>
      <c r="J27" s="842"/>
      <c r="K27" s="836"/>
      <c r="L27" s="845"/>
      <c r="M27" s="848"/>
      <c r="N27" s="984"/>
      <c r="O27" s="988"/>
      <c r="P27" s="543" t="s">
        <v>558</v>
      </c>
      <c r="Q27" s="544" t="s">
        <v>353</v>
      </c>
      <c r="R27" s="545" t="s">
        <v>95</v>
      </c>
      <c r="S27" s="545" t="s">
        <v>96</v>
      </c>
      <c r="T27" s="545">
        <v>1</v>
      </c>
      <c r="U27" s="559">
        <v>0.79279999999999995</v>
      </c>
      <c r="V27" s="549">
        <f t="shared" si="0"/>
        <v>0.79279999999999995</v>
      </c>
      <c r="W27" s="545">
        <f t="shared" si="2"/>
        <v>1</v>
      </c>
      <c r="X27" s="559">
        <f t="shared" si="2"/>
        <v>0.79279999999999995</v>
      </c>
      <c r="Y27" s="549">
        <f t="shared" si="1"/>
        <v>0.79279999999999995</v>
      </c>
      <c r="Z27" s="253" t="s">
        <v>768</v>
      </c>
      <c r="AA27" s="249" t="s">
        <v>292</v>
      </c>
      <c r="AB27" s="11"/>
      <c r="AC27" s="11"/>
      <c r="AD27" s="12"/>
      <c r="AE27" s="318">
        <v>36767</v>
      </c>
      <c r="AF27" s="6">
        <v>23141</v>
      </c>
      <c r="AG27" s="319">
        <f>+AF27/AE27</f>
        <v>0.62939592569423664</v>
      </c>
    </row>
    <row r="28" spans="3:33" ht="135.75" customHeight="1" thickBot="1" x14ac:dyDescent="0.3">
      <c r="C28" s="886"/>
      <c r="D28" s="889"/>
      <c r="E28" s="851"/>
      <c r="F28" s="854"/>
      <c r="G28" s="833"/>
      <c r="H28" s="836"/>
      <c r="I28" s="875"/>
      <c r="J28" s="842"/>
      <c r="K28" s="836"/>
      <c r="L28" s="845"/>
      <c r="M28" s="848"/>
      <c r="N28" s="646" t="s">
        <v>146</v>
      </c>
      <c r="O28" s="544" t="s">
        <v>726</v>
      </c>
      <c r="P28" s="543" t="s">
        <v>148</v>
      </c>
      <c r="Q28" s="544" t="s">
        <v>727</v>
      </c>
      <c r="R28" s="545" t="s">
        <v>101</v>
      </c>
      <c r="S28" s="545" t="s">
        <v>42</v>
      </c>
      <c r="T28" s="554">
        <v>0</v>
      </c>
      <c r="U28" s="554">
        <v>0</v>
      </c>
      <c r="V28" s="549" t="e">
        <f t="shared" si="0"/>
        <v>#DIV/0!</v>
      </c>
      <c r="W28" s="554">
        <f t="shared" si="2"/>
        <v>0</v>
      </c>
      <c r="X28" s="554">
        <f t="shared" si="2"/>
        <v>0</v>
      </c>
      <c r="Y28" s="549" t="e">
        <f t="shared" si="1"/>
        <v>#DIV/0!</v>
      </c>
      <c r="Z28" s="555" t="s">
        <v>736</v>
      </c>
      <c r="AA28" s="249" t="s">
        <v>294</v>
      </c>
      <c r="AB28" s="11"/>
      <c r="AC28" s="11"/>
      <c r="AD28" s="12"/>
      <c r="AE28" s="1"/>
    </row>
    <row r="29" spans="3:33" ht="369.75" customHeight="1" thickBot="1" x14ac:dyDescent="0.3">
      <c r="C29" s="886"/>
      <c r="D29" s="889"/>
      <c r="E29" s="851"/>
      <c r="F29" s="854"/>
      <c r="G29" s="833"/>
      <c r="H29" s="836"/>
      <c r="I29" s="875"/>
      <c r="J29" s="842"/>
      <c r="K29" s="836"/>
      <c r="L29" s="845"/>
      <c r="M29" s="848"/>
      <c r="N29" s="614" t="s">
        <v>125</v>
      </c>
      <c r="O29" s="611" t="s">
        <v>728</v>
      </c>
      <c r="P29" s="543" t="s">
        <v>127</v>
      </c>
      <c r="Q29" s="544" t="s">
        <v>104</v>
      </c>
      <c r="R29" s="545" t="s">
        <v>105</v>
      </c>
      <c r="S29" s="545" t="s">
        <v>42</v>
      </c>
      <c r="T29" s="554">
        <v>12</v>
      </c>
      <c r="U29" s="554">
        <v>13</v>
      </c>
      <c r="V29" s="549">
        <f t="shared" si="0"/>
        <v>1.0833333333333333</v>
      </c>
      <c r="W29" s="554">
        <f t="shared" si="2"/>
        <v>12</v>
      </c>
      <c r="X29" s="554">
        <f t="shared" si="2"/>
        <v>13</v>
      </c>
      <c r="Y29" s="549">
        <f t="shared" si="1"/>
        <v>1.0833333333333333</v>
      </c>
      <c r="Z29" s="555" t="s">
        <v>793</v>
      </c>
      <c r="AA29" s="315" t="s">
        <v>796</v>
      </c>
      <c r="AB29" s="11"/>
      <c r="AC29" s="11"/>
      <c r="AD29" s="12"/>
      <c r="AE29" s="1"/>
    </row>
    <row r="30" spans="3:33" ht="144.75" customHeight="1" thickBot="1" x14ac:dyDescent="0.3">
      <c r="C30" s="886"/>
      <c r="D30" s="889"/>
      <c r="E30" s="851"/>
      <c r="F30" s="854"/>
      <c r="G30" s="832">
        <v>304</v>
      </c>
      <c r="H30" s="835" t="s">
        <v>110</v>
      </c>
      <c r="I30" s="838">
        <v>0.1</v>
      </c>
      <c r="J30" s="841" t="s">
        <v>111</v>
      </c>
      <c r="K30" s="835" t="s">
        <v>290</v>
      </c>
      <c r="L30" s="844" t="s">
        <v>81</v>
      </c>
      <c r="M30" s="847">
        <v>1</v>
      </c>
      <c r="N30" s="577" t="s">
        <v>112</v>
      </c>
      <c r="O30" s="544" t="s">
        <v>113</v>
      </c>
      <c r="P30" s="543" t="s">
        <v>114</v>
      </c>
      <c r="Q30" s="544" t="s">
        <v>721</v>
      </c>
      <c r="R30" s="545" t="s">
        <v>116</v>
      </c>
      <c r="S30" s="545" t="s">
        <v>42</v>
      </c>
      <c r="T30" s="554">
        <v>0</v>
      </c>
      <c r="U30" s="554">
        <v>0</v>
      </c>
      <c r="V30" s="549" t="e">
        <f t="shared" si="0"/>
        <v>#DIV/0!</v>
      </c>
      <c r="W30" s="554">
        <f t="shared" si="2"/>
        <v>0</v>
      </c>
      <c r="X30" s="554">
        <f t="shared" si="2"/>
        <v>0</v>
      </c>
      <c r="Y30" s="549" t="e">
        <f t="shared" si="1"/>
        <v>#DIV/0!</v>
      </c>
      <c r="Z30" s="555" t="s">
        <v>736</v>
      </c>
      <c r="AA30" s="249" t="s">
        <v>293</v>
      </c>
      <c r="AB30" s="11"/>
      <c r="AC30" s="11"/>
      <c r="AD30" s="12"/>
      <c r="AE30" s="1"/>
    </row>
    <row r="31" spans="3:33" ht="95.25" customHeight="1" thickBot="1" x14ac:dyDescent="0.3">
      <c r="C31" s="886"/>
      <c r="D31" s="889"/>
      <c r="E31" s="851"/>
      <c r="F31" s="854"/>
      <c r="G31" s="833"/>
      <c r="H31" s="836"/>
      <c r="I31" s="839"/>
      <c r="J31" s="842"/>
      <c r="K31" s="836"/>
      <c r="L31" s="845"/>
      <c r="M31" s="848"/>
      <c r="N31" s="983" t="s">
        <v>117</v>
      </c>
      <c r="O31" s="986" t="s">
        <v>118</v>
      </c>
      <c r="P31" s="543" t="s">
        <v>119</v>
      </c>
      <c r="Q31" s="544" t="s">
        <v>347</v>
      </c>
      <c r="R31" s="545" t="s">
        <v>348</v>
      </c>
      <c r="S31" s="545" t="s">
        <v>42</v>
      </c>
      <c r="T31" s="554">
        <v>0</v>
      </c>
      <c r="U31" s="554">
        <v>0</v>
      </c>
      <c r="V31" s="549" t="e">
        <f>+U31/T31</f>
        <v>#DIV/0!</v>
      </c>
      <c r="W31" s="554">
        <f t="shared" si="2"/>
        <v>0</v>
      </c>
      <c r="X31" s="554">
        <f t="shared" si="2"/>
        <v>0</v>
      </c>
      <c r="Y31" s="549" t="e">
        <f>+X31/W31</f>
        <v>#DIV/0!</v>
      </c>
      <c r="Z31" s="555" t="s">
        <v>736</v>
      </c>
      <c r="AA31" s="249" t="s">
        <v>292</v>
      </c>
      <c r="AB31" s="11"/>
      <c r="AC31" s="11"/>
      <c r="AD31" s="12"/>
      <c r="AE31" s="1"/>
    </row>
    <row r="32" spans="3:33" ht="114" customHeight="1" thickBot="1" x14ac:dyDescent="0.3">
      <c r="C32" s="887"/>
      <c r="D32" s="890"/>
      <c r="E32" s="852"/>
      <c r="F32" s="855"/>
      <c r="G32" s="834"/>
      <c r="H32" s="837"/>
      <c r="I32" s="840"/>
      <c r="J32" s="843"/>
      <c r="K32" s="837"/>
      <c r="L32" s="846"/>
      <c r="M32" s="849"/>
      <c r="N32" s="984"/>
      <c r="O32" s="988"/>
      <c r="P32" s="543" t="s">
        <v>120</v>
      </c>
      <c r="Q32" s="544" t="s">
        <v>121</v>
      </c>
      <c r="R32" s="545" t="s">
        <v>349</v>
      </c>
      <c r="S32" s="545" t="s">
        <v>42</v>
      </c>
      <c r="T32" s="554">
        <v>0</v>
      </c>
      <c r="U32" s="554">
        <v>0</v>
      </c>
      <c r="V32" s="556" t="e">
        <f>+U32/T32</f>
        <v>#DIV/0!</v>
      </c>
      <c r="W32" s="554">
        <f t="shared" si="2"/>
        <v>0</v>
      </c>
      <c r="X32" s="554">
        <f t="shared" si="2"/>
        <v>0</v>
      </c>
      <c r="Y32" s="549" t="e">
        <f>+X32/W32</f>
        <v>#DIV/0!</v>
      </c>
      <c r="Z32" s="555" t="s">
        <v>736</v>
      </c>
      <c r="AA32" s="610" t="s">
        <v>292</v>
      </c>
      <c r="AB32" s="11"/>
      <c r="AC32" s="11"/>
      <c r="AD32" s="12"/>
      <c r="AE32" s="1"/>
    </row>
    <row r="33" spans="3:33" ht="183.75" customHeight="1" thickBot="1" x14ac:dyDescent="0.3">
      <c r="C33" s="885" t="s">
        <v>18</v>
      </c>
      <c r="D33" s="888" t="s">
        <v>19</v>
      </c>
      <c r="E33" s="850">
        <v>3</v>
      </c>
      <c r="F33" s="853" t="s">
        <v>70</v>
      </c>
      <c r="G33" s="832">
        <v>305</v>
      </c>
      <c r="H33" s="835" t="s">
        <v>122</v>
      </c>
      <c r="I33" s="838">
        <v>0.1</v>
      </c>
      <c r="J33" s="618" t="s">
        <v>123</v>
      </c>
      <c r="K33" s="620" t="s">
        <v>124</v>
      </c>
      <c r="L33" s="72" t="s">
        <v>81</v>
      </c>
      <c r="M33" s="624">
        <v>0.3</v>
      </c>
      <c r="N33" s="983" t="s">
        <v>261</v>
      </c>
      <c r="O33" s="986" t="s">
        <v>729</v>
      </c>
      <c r="P33" s="638" t="s">
        <v>263</v>
      </c>
      <c r="Q33" s="544" t="s">
        <v>356</v>
      </c>
      <c r="R33" s="545" t="s">
        <v>128</v>
      </c>
      <c r="S33" s="545" t="s">
        <v>42</v>
      </c>
      <c r="T33" s="554">
        <v>1</v>
      </c>
      <c r="U33" s="554">
        <v>1</v>
      </c>
      <c r="V33" s="653">
        <v>1</v>
      </c>
      <c r="W33" s="554">
        <f t="shared" si="2"/>
        <v>1</v>
      </c>
      <c r="X33" s="554">
        <f t="shared" si="2"/>
        <v>1</v>
      </c>
      <c r="Y33" s="653">
        <f t="shared" si="1"/>
        <v>1</v>
      </c>
      <c r="Z33" s="641" t="s">
        <v>769</v>
      </c>
      <c r="AA33" s="630" t="s">
        <v>292</v>
      </c>
      <c r="AB33" s="11"/>
      <c r="AC33" s="11"/>
      <c r="AD33" s="12"/>
      <c r="AE33" s="1"/>
    </row>
    <row r="34" spans="3:33" ht="148.5" customHeight="1" thickBot="1" x14ac:dyDescent="0.3">
      <c r="C34" s="886"/>
      <c r="D34" s="889"/>
      <c r="E34" s="851"/>
      <c r="F34" s="854"/>
      <c r="G34" s="833"/>
      <c r="H34" s="836"/>
      <c r="I34" s="839"/>
      <c r="J34" s="618" t="s">
        <v>129</v>
      </c>
      <c r="K34" s="620" t="s">
        <v>130</v>
      </c>
      <c r="L34" s="622" t="s">
        <v>81</v>
      </c>
      <c r="M34" s="624">
        <v>0.2</v>
      </c>
      <c r="N34" s="985"/>
      <c r="O34" s="987"/>
      <c r="P34" s="543" t="s">
        <v>733</v>
      </c>
      <c r="Q34" s="544" t="s">
        <v>132</v>
      </c>
      <c r="R34" s="545" t="s">
        <v>719</v>
      </c>
      <c r="S34" s="545" t="s">
        <v>42</v>
      </c>
      <c r="T34" s="554">
        <v>9</v>
      </c>
      <c r="U34" s="554">
        <v>2</v>
      </c>
      <c r="V34" s="549">
        <f t="shared" si="0"/>
        <v>0.22222222222222221</v>
      </c>
      <c r="W34" s="554">
        <f t="shared" si="2"/>
        <v>9</v>
      </c>
      <c r="X34" s="554">
        <f t="shared" si="2"/>
        <v>2</v>
      </c>
      <c r="Y34" s="549">
        <f t="shared" si="1"/>
        <v>0.22222222222222221</v>
      </c>
      <c r="Z34" s="555" t="s">
        <v>761</v>
      </c>
      <c r="AA34" s="249" t="s">
        <v>292</v>
      </c>
      <c r="AB34" s="11"/>
      <c r="AC34" s="11"/>
      <c r="AD34" s="12"/>
      <c r="AE34" s="1"/>
    </row>
    <row r="35" spans="3:33" ht="99.75" customHeight="1" x14ac:dyDescent="0.25">
      <c r="C35" s="886"/>
      <c r="D35" s="889"/>
      <c r="E35" s="851"/>
      <c r="F35" s="854"/>
      <c r="G35" s="833"/>
      <c r="H35" s="836"/>
      <c r="I35" s="839"/>
      <c r="J35" s="841" t="s">
        <v>134</v>
      </c>
      <c r="K35" s="835" t="s">
        <v>135</v>
      </c>
      <c r="L35" s="844" t="s">
        <v>81</v>
      </c>
      <c r="M35" s="847">
        <v>0.2</v>
      </c>
      <c r="N35" s="985"/>
      <c r="O35" s="987"/>
      <c r="P35" s="1007" t="s">
        <v>725</v>
      </c>
      <c r="Q35" s="986" t="s">
        <v>137</v>
      </c>
      <c r="R35" s="1020" t="s">
        <v>137</v>
      </c>
      <c r="S35" s="1020" t="s">
        <v>42</v>
      </c>
      <c r="T35" s="1010">
        <v>82</v>
      </c>
      <c r="U35" s="1010">
        <v>40</v>
      </c>
      <c r="V35" s="1003">
        <f>+U35/T35</f>
        <v>0.48780487804878048</v>
      </c>
      <c r="W35" s="1010">
        <f t="shared" si="2"/>
        <v>82</v>
      </c>
      <c r="X35" s="1010">
        <f t="shared" si="2"/>
        <v>40</v>
      </c>
      <c r="Y35" s="1003">
        <f t="shared" si="1"/>
        <v>0.48780487804878048</v>
      </c>
      <c r="Z35" s="641" t="s">
        <v>741</v>
      </c>
      <c r="AA35" s="628" t="s">
        <v>762</v>
      </c>
      <c r="AB35" s="11"/>
      <c r="AC35" s="11"/>
      <c r="AD35" s="12"/>
      <c r="AE35" s="1"/>
    </row>
    <row r="36" spans="3:33" ht="15.75" customHeight="1" thickBot="1" x14ac:dyDescent="0.3">
      <c r="C36" s="886"/>
      <c r="D36" s="889"/>
      <c r="E36" s="851"/>
      <c r="F36" s="854"/>
      <c r="G36" s="833"/>
      <c r="H36" s="836"/>
      <c r="I36" s="839"/>
      <c r="J36" s="843"/>
      <c r="K36" s="837"/>
      <c r="L36" s="846"/>
      <c r="M36" s="849"/>
      <c r="N36" s="984"/>
      <c r="O36" s="988"/>
      <c r="P36" s="1009"/>
      <c r="Q36" s="988"/>
      <c r="R36" s="1022"/>
      <c r="S36" s="1022"/>
      <c r="T36" s="1012"/>
      <c r="U36" s="1012"/>
      <c r="V36" s="1004"/>
      <c r="W36" s="1012"/>
      <c r="X36" s="1012"/>
      <c r="Y36" s="1004"/>
      <c r="Z36" s="562"/>
      <c r="AA36" s="400"/>
      <c r="AB36" s="11"/>
      <c r="AC36" s="11"/>
      <c r="AD36" s="12"/>
      <c r="AE36" s="1"/>
    </row>
    <row r="37" spans="3:33" ht="141.75" customHeight="1" thickBot="1" x14ac:dyDescent="0.3">
      <c r="C37" s="886"/>
      <c r="D37" s="889"/>
      <c r="E37" s="851"/>
      <c r="F37" s="854"/>
      <c r="G37" s="834"/>
      <c r="H37" s="837"/>
      <c r="I37" s="840"/>
      <c r="J37" s="14" t="s">
        <v>138</v>
      </c>
      <c r="K37" s="620" t="s">
        <v>139</v>
      </c>
      <c r="L37" s="72" t="s">
        <v>81</v>
      </c>
      <c r="M37" s="624">
        <v>0.3</v>
      </c>
      <c r="N37" s="643" t="s">
        <v>198</v>
      </c>
      <c r="O37" s="637" t="s">
        <v>730</v>
      </c>
      <c r="P37" s="639" t="s">
        <v>200</v>
      </c>
      <c r="Q37" s="544" t="s">
        <v>724</v>
      </c>
      <c r="R37" s="545" t="s">
        <v>143</v>
      </c>
      <c r="S37" s="545" t="s">
        <v>42</v>
      </c>
      <c r="T37" s="554">
        <v>0</v>
      </c>
      <c r="U37" s="554">
        <v>0</v>
      </c>
      <c r="V37" s="549" t="e">
        <f t="shared" si="0"/>
        <v>#DIV/0!</v>
      </c>
      <c r="W37" s="554">
        <f>+T37</f>
        <v>0</v>
      </c>
      <c r="X37" s="554">
        <f>+U37</f>
        <v>0</v>
      </c>
      <c r="Y37" s="549" t="e">
        <f t="shared" si="1"/>
        <v>#DIV/0!</v>
      </c>
      <c r="Z37" s="555" t="s">
        <v>736</v>
      </c>
      <c r="AA37" s="249" t="s">
        <v>294</v>
      </c>
      <c r="AB37" s="11"/>
      <c r="AC37" s="11"/>
      <c r="AD37" s="12"/>
      <c r="AE37" s="1"/>
    </row>
    <row r="38" spans="3:33" ht="62.25" customHeight="1" thickBot="1" x14ac:dyDescent="0.3">
      <c r="C38" s="886"/>
      <c r="D38" s="889"/>
      <c r="E38" s="851"/>
      <c r="F38" s="854"/>
      <c r="G38" s="832">
        <v>306</v>
      </c>
      <c r="H38" s="835" t="s">
        <v>284</v>
      </c>
      <c r="I38" s="838">
        <v>0.05</v>
      </c>
      <c r="J38" s="618" t="s">
        <v>144</v>
      </c>
      <c r="K38" s="620" t="s">
        <v>710</v>
      </c>
      <c r="L38" s="72" t="s">
        <v>81</v>
      </c>
      <c r="M38" s="624">
        <v>0.35</v>
      </c>
      <c r="N38" s="983" t="s">
        <v>140</v>
      </c>
      <c r="O38" s="986" t="s">
        <v>147</v>
      </c>
      <c r="P38" s="1007" t="s">
        <v>142</v>
      </c>
      <c r="Q38" s="986" t="s">
        <v>149</v>
      </c>
      <c r="R38" s="1020" t="s">
        <v>150</v>
      </c>
      <c r="S38" s="1020" t="s">
        <v>42</v>
      </c>
      <c r="T38" s="1010">
        <v>0</v>
      </c>
      <c r="U38" s="1010">
        <v>0</v>
      </c>
      <c r="V38" s="1003" t="e">
        <f t="shared" si="0"/>
        <v>#DIV/0!</v>
      </c>
      <c r="W38" s="1010">
        <f>+T38</f>
        <v>0</v>
      </c>
      <c r="X38" s="1010">
        <f>+U38</f>
        <v>0</v>
      </c>
      <c r="Y38" s="1003" t="e">
        <f t="shared" si="1"/>
        <v>#DIV/0!</v>
      </c>
      <c r="Z38" s="1014" t="s">
        <v>736</v>
      </c>
      <c r="AA38" s="969" t="s">
        <v>294</v>
      </c>
      <c r="AB38" s="11"/>
      <c r="AC38" s="11"/>
      <c r="AD38" s="12"/>
      <c r="AE38" s="1"/>
    </row>
    <row r="39" spans="3:33" ht="74.25" customHeight="1" thickBot="1" x14ac:dyDescent="0.3">
      <c r="C39" s="886"/>
      <c r="D39" s="889"/>
      <c r="E39" s="851"/>
      <c r="F39" s="854"/>
      <c r="G39" s="833"/>
      <c r="H39" s="836"/>
      <c r="I39" s="839"/>
      <c r="J39" s="14" t="s">
        <v>151</v>
      </c>
      <c r="K39" s="47" t="s">
        <v>711</v>
      </c>
      <c r="L39" s="72" t="s">
        <v>81</v>
      </c>
      <c r="M39" s="44">
        <v>0.35</v>
      </c>
      <c r="N39" s="985"/>
      <c r="O39" s="987"/>
      <c r="P39" s="1008"/>
      <c r="Q39" s="987"/>
      <c r="R39" s="1021"/>
      <c r="S39" s="1021"/>
      <c r="T39" s="1011"/>
      <c r="U39" s="1011"/>
      <c r="V39" s="1013"/>
      <c r="W39" s="1011"/>
      <c r="X39" s="1011"/>
      <c r="Y39" s="1013"/>
      <c r="Z39" s="1015"/>
      <c r="AA39" s="969"/>
      <c r="AB39" s="11"/>
      <c r="AC39" s="11"/>
      <c r="AD39" s="12"/>
      <c r="AE39" s="1"/>
    </row>
    <row r="40" spans="3:33" ht="98.25" customHeight="1" thickBot="1" x14ac:dyDescent="0.3">
      <c r="C40" s="887"/>
      <c r="D40" s="890"/>
      <c r="E40" s="852"/>
      <c r="F40" s="855"/>
      <c r="G40" s="834"/>
      <c r="H40" s="837"/>
      <c r="I40" s="840"/>
      <c r="J40" s="619" t="s">
        <v>153</v>
      </c>
      <c r="K40" s="621" t="s">
        <v>154</v>
      </c>
      <c r="L40" s="623" t="s">
        <v>81</v>
      </c>
      <c r="M40" s="625">
        <v>0.3</v>
      </c>
      <c r="N40" s="984"/>
      <c r="O40" s="988"/>
      <c r="P40" s="1009"/>
      <c r="Q40" s="988"/>
      <c r="R40" s="1022"/>
      <c r="S40" s="1022"/>
      <c r="T40" s="1012"/>
      <c r="U40" s="1012"/>
      <c r="V40" s="1004"/>
      <c r="W40" s="1012"/>
      <c r="X40" s="1012"/>
      <c r="Y40" s="1004"/>
      <c r="Z40" s="1016"/>
      <c r="AA40" s="970"/>
      <c r="AB40" s="11"/>
      <c r="AC40" s="11"/>
      <c r="AD40" s="12"/>
      <c r="AE40" s="1"/>
    </row>
    <row r="41" spans="3:33" ht="367.5" customHeight="1" thickBot="1" x14ac:dyDescent="0.3">
      <c r="C41" s="649"/>
      <c r="D41" s="648"/>
      <c r="E41" s="650">
        <v>3</v>
      </c>
      <c r="F41" s="615" t="s">
        <v>70</v>
      </c>
      <c r="G41" s="832">
        <v>307</v>
      </c>
      <c r="H41" s="835" t="s">
        <v>285</v>
      </c>
      <c r="I41" s="838">
        <v>0.1</v>
      </c>
      <c r="J41" s="102" t="s">
        <v>155</v>
      </c>
      <c r="K41" s="103" t="s">
        <v>156</v>
      </c>
      <c r="L41" s="104" t="s">
        <v>81</v>
      </c>
      <c r="M41" s="101">
        <v>0.5</v>
      </c>
      <c r="N41" s="577" t="s">
        <v>92</v>
      </c>
      <c r="O41" s="544" t="s">
        <v>731</v>
      </c>
      <c r="P41" s="577" t="s">
        <v>94</v>
      </c>
      <c r="Q41" s="544" t="s">
        <v>162</v>
      </c>
      <c r="R41" s="545" t="s">
        <v>163</v>
      </c>
      <c r="S41" s="545" t="s">
        <v>739</v>
      </c>
      <c r="T41" s="563">
        <v>0.48</v>
      </c>
      <c r="U41" s="564">
        <v>0.24</v>
      </c>
      <c r="V41" s="560">
        <f t="shared" si="0"/>
        <v>0.5</v>
      </c>
      <c r="W41" s="565">
        <f t="shared" ref="W41:X48" si="3">+T41</f>
        <v>0.48</v>
      </c>
      <c r="X41" s="563">
        <f t="shared" si="3"/>
        <v>0.24</v>
      </c>
      <c r="Y41" s="549">
        <f t="shared" si="1"/>
        <v>0.5</v>
      </c>
      <c r="Z41" s="555" t="s">
        <v>764</v>
      </c>
      <c r="AA41" s="630" t="s">
        <v>292</v>
      </c>
      <c r="AB41" s="11"/>
      <c r="AC41" s="11"/>
      <c r="AD41" s="12"/>
      <c r="AE41" s="1"/>
    </row>
    <row r="42" spans="3:33" ht="122.25" customHeight="1" thickBot="1" x14ac:dyDescent="0.3">
      <c r="C42" s="886" t="s">
        <v>18</v>
      </c>
      <c r="D42" s="889" t="s">
        <v>19</v>
      </c>
      <c r="E42" s="851">
        <v>3</v>
      </c>
      <c r="F42" s="854" t="s">
        <v>70</v>
      </c>
      <c r="G42" s="833"/>
      <c r="H42" s="836"/>
      <c r="I42" s="839"/>
      <c r="J42" s="842" t="s">
        <v>165</v>
      </c>
      <c r="K42" s="835" t="s">
        <v>291</v>
      </c>
      <c r="L42" s="844" t="s">
        <v>81</v>
      </c>
      <c r="M42" s="847">
        <v>0.5</v>
      </c>
      <c r="N42" s="643" t="s">
        <v>55</v>
      </c>
      <c r="O42" s="637" t="s">
        <v>344</v>
      </c>
      <c r="P42" s="543" t="s">
        <v>57</v>
      </c>
      <c r="Q42" s="544" t="s">
        <v>722</v>
      </c>
      <c r="R42" s="545" t="s">
        <v>159</v>
      </c>
      <c r="S42" s="545" t="s">
        <v>42</v>
      </c>
      <c r="T42" s="554">
        <v>1</v>
      </c>
      <c r="U42" s="554">
        <v>1</v>
      </c>
      <c r="V42" s="653">
        <f>+U42/T42</f>
        <v>1</v>
      </c>
      <c r="W42" s="566">
        <f t="shared" si="3"/>
        <v>1</v>
      </c>
      <c r="X42" s="566">
        <f t="shared" si="3"/>
        <v>1</v>
      </c>
      <c r="Y42" s="653">
        <v>1</v>
      </c>
      <c r="Z42" s="558" t="s">
        <v>770</v>
      </c>
      <c r="AA42" s="249"/>
      <c r="AB42" s="11"/>
      <c r="AC42" s="11"/>
      <c r="AD42" s="12"/>
      <c r="AE42" s="1"/>
    </row>
    <row r="43" spans="3:33" ht="114" customHeight="1" thickBot="1" x14ac:dyDescent="0.3">
      <c r="C43" s="886"/>
      <c r="D43" s="889"/>
      <c r="E43" s="851"/>
      <c r="F43" s="854"/>
      <c r="G43" s="833"/>
      <c r="H43" s="836"/>
      <c r="I43" s="839"/>
      <c r="J43" s="842"/>
      <c r="K43" s="836"/>
      <c r="L43" s="845"/>
      <c r="M43" s="848"/>
      <c r="N43" s="983" t="s">
        <v>166</v>
      </c>
      <c r="O43" s="986" t="s">
        <v>167</v>
      </c>
      <c r="P43" s="543" t="s">
        <v>168</v>
      </c>
      <c r="Q43" s="544" t="s">
        <v>350</v>
      </c>
      <c r="R43" s="545" t="s">
        <v>169</v>
      </c>
      <c r="S43" s="545" t="s">
        <v>42</v>
      </c>
      <c r="T43" s="554">
        <v>1</v>
      </c>
      <c r="U43" s="554">
        <v>1</v>
      </c>
      <c r="V43" s="653">
        <v>1</v>
      </c>
      <c r="W43" s="554">
        <f>+T43</f>
        <v>1</v>
      </c>
      <c r="X43" s="554">
        <f t="shared" si="3"/>
        <v>1</v>
      </c>
      <c r="Y43" s="653">
        <f t="shared" si="1"/>
        <v>1</v>
      </c>
      <c r="Z43" s="555" t="s">
        <v>771</v>
      </c>
      <c r="AA43" s="632" t="s">
        <v>293</v>
      </c>
      <c r="AB43" s="11"/>
      <c r="AC43" s="11"/>
      <c r="AD43" s="12"/>
      <c r="AE43" s="1"/>
    </row>
    <row r="44" spans="3:33" ht="222" customHeight="1" thickBot="1" x14ac:dyDescent="0.3">
      <c r="C44" s="886"/>
      <c r="D44" s="889"/>
      <c r="E44" s="851"/>
      <c r="F44" s="854"/>
      <c r="G44" s="834"/>
      <c r="H44" s="837"/>
      <c r="I44" s="840"/>
      <c r="J44" s="843"/>
      <c r="K44" s="837"/>
      <c r="L44" s="846"/>
      <c r="M44" s="849"/>
      <c r="N44" s="984"/>
      <c r="O44" s="988"/>
      <c r="P44" s="543" t="s">
        <v>170</v>
      </c>
      <c r="Q44" s="544" t="s">
        <v>171</v>
      </c>
      <c r="R44" s="545" t="s">
        <v>169</v>
      </c>
      <c r="S44" s="545" t="s">
        <v>42</v>
      </c>
      <c r="T44" s="554">
        <v>1</v>
      </c>
      <c r="U44" s="554">
        <v>3</v>
      </c>
      <c r="V44" s="653">
        <f>+U44/T44</f>
        <v>3</v>
      </c>
      <c r="W44" s="554">
        <f t="shared" si="3"/>
        <v>1</v>
      </c>
      <c r="X44" s="554">
        <f t="shared" si="3"/>
        <v>3</v>
      </c>
      <c r="Y44" s="653">
        <f t="shared" si="1"/>
        <v>3</v>
      </c>
      <c r="Z44" s="642" t="s">
        <v>738</v>
      </c>
      <c r="AA44" s="632" t="s">
        <v>292</v>
      </c>
      <c r="AB44" s="11"/>
      <c r="AC44" s="11"/>
      <c r="AD44" s="12"/>
      <c r="AE44" s="1"/>
    </row>
    <row r="45" spans="3:33" ht="169.5" customHeight="1" thickBot="1" x14ac:dyDescent="0.3">
      <c r="C45" s="886"/>
      <c r="D45" s="889"/>
      <c r="E45" s="851"/>
      <c r="F45" s="854"/>
      <c r="G45" s="832">
        <v>308</v>
      </c>
      <c r="H45" s="835" t="s">
        <v>172</v>
      </c>
      <c r="I45" s="838">
        <v>0.1</v>
      </c>
      <c r="J45" s="14" t="s">
        <v>173</v>
      </c>
      <c r="K45" s="47" t="s">
        <v>732</v>
      </c>
      <c r="L45" s="72" t="s">
        <v>81</v>
      </c>
      <c r="M45" s="44">
        <v>0.5</v>
      </c>
      <c r="N45" s="983" t="s">
        <v>582</v>
      </c>
      <c r="O45" s="986" t="s">
        <v>312</v>
      </c>
      <c r="P45" s="543" t="s">
        <v>566</v>
      </c>
      <c r="Q45" s="544" t="s">
        <v>692</v>
      </c>
      <c r="R45" s="545" t="s">
        <v>314</v>
      </c>
      <c r="S45" s="545" t="s">
        <v>164</v>
      </c>
      <c r="T45" s="557">
        <v>0.28889999999999999</v>
      </c>
      <c r="U45" s="557">
        <v>0</v>
      </c>
      <c r="V45" s="549">
        <f t="shared" si="0"/>
        <v>0</v>
      </c>
      <c r="W45" s="563">
        <f t="shared" si="3"/>
        <v>0.28889999999999999</v>
      </c>
      <c r="X45" s="563">
        <f t="shared" si="3"/>
        <v>0</v>
      </c>
      <c r="Y45" s="549">
        <f t="shared" si="1"/>
        <v>0</v>
      </c>
      <c r="Z45" s="558" t="s">
        <v>737</v>
      </c>
      <c r="AA45" s="254"/>
      <c r="AB45" s="11"/>
      <c r="AC45" s="11"/>
      <c r="AD45" s="13"/>
      <c r="AE45" s="1"/>
      <c r="AF45" s="77"/>
      <c r="AG45" s="77"/>
    </row>
    <row r="46" spans="3:33" ht="141.75" customHeight="1" thickBot="1" x14ac:dyDescent="0.3">
      <c r="C46" s="886"/>
      <c r="D46" s="889"/>
      <c r="E46" s="851"/>
      <c r="F46" s="854"/>
      <c r="G46" s="833"/>
      <c r="H46" s="836"/>
      <c r="I46" s="839"/>
      <c r="J46" s="842" t="s">
        <v>177</v>
      </c>
      <c r="K46" s="836" t="s">
        <v>178</v>
      </c>
      <c r="L46" s="845"/>
      <c r="M46" s="848"/>
      <c r="N46" s="985"/>
      <c r="O46" s="987"/>
      <c r="P46" s="543" t="s">
        <v>565</v>
      </c>
      <c r="Q46" s="544" t="s">
        <v>181</v>
      </c>
      <c r="R46" s="545" t="s">
        <v>693</v>
      </c>
      <c r="S46" s="545" t="s">
        <v>182</v>
      </c>
      <c r="T46" s="545">
        <v>1</v>
      </c>
      <c r="U46" s="557">
        <v>1</v>
      </c>
      <c r="V46" s="653">
        <f t="shared" si="0"/>
        <v>1</v>
      </c>
      <c r="W46" s="545">
        <f t="shared" si="3"/>
        <v>1</v>
      </c>
      <c r="X46" s="545">
        <f t="shared" si="3"/>
        <v>1</v>
      </c>
      <c r="Y46" s="653">
        <f t="shared" si="1"/>
        <v>1</v>
      </c>
      <c r="Z46" s="581" t="s">
        <v>743</v>
      </c>
      <c r="AA46" s="632"/>
      <c r="AB46" s="11"/>
      <c r="AC46" s="11"/>
      <c r="AD46" s="12"/>
      <c r="AE46" s="1"/>
    </row>
    <row r="47" spans="3:33" ht="141.75" customHeight="1" thickBot="1" x14ac:dyDescent="0.3">
      <c r="C47" s="886"/>
      <c r="D47" s="889"/>
      <c r="E47" s="851"/>
      <c r="F47" s="854"/>
      <c r="G47" s="833"/>
      <c r="H47" s="836"/>
      <c r="I47" s="839"/>
      <c r="J47" s="842"/>
      <c r="K47" s="836"/>
      <c r="L47" s="845"/>
      <c r="M47" s="848"/>
      <c r="N47" s="985"/>
      <c r="O47" s="988"/>
      <c r="P47" s="543" t="s">
        <v>567</v>
      </c>
      <c r="Q47" s="637" t="s">
        <v>714</v>
      </c>
      <c r="R47" s="634" t="s">
        <v>694</v>
      </c>
      <c r="S47" s="634" t="s">
        <v>182</v>
      </c>
      <c r="T47" s="634">
        <v>1</v>
      </c>
      <c r="U47" s="634">
        <v>1</v>
      </c>
      <c r="V47" s="653">
        <f>+U47/T47</f>
        <v>1</v>
      </c>
      <c r="W47" s="634">
        <f t="shared" si="3"/>
        <v>1</v>
      </c>
      <c r="X47" s="634">
        <f t="shared" si="3"/>
        <v>1</v>
      </c>
      <c r="Y47" s="653">
        <f>+X47/W47</f>
        <v>1</v>
      </c>
      <c r="Z47" s="567" t="s">
        <v>744</v>
      </c>
      <c r="AA47" s="632"/>
      <c r="AB47" s="11"/>
      <c r="AC47" s="11"/>
      <c r="AD47" s="12"/>
      <c r="AE47" s="1"/>
    </row>
    <row r="48" spans="3:33" ht="189.75" customHeight="1" thickBot="1" x14ac:dyDescent="0.3">
      <c r="C48" s="886"/>
      <c r="D48" s="889"/>
      <c r="E48" s="851"/>
      <c r="F48" s="854"/>
      <c r="G48" s="833"/>
      <c r="H48" s="836"/>
      <c r="I48" s="839"/>
      <c r="J48" s="842"/>
      <c r="K48" s="836"/>
      <c r="L48" s="845"/>
      <c r="M48" s="848"/>
      <c r="N48" s="577" t="s">
        <v>570</v>
      </c>
      <c r="O48" s="637" t="s">
        <v>712</v>
      </c>
      <c r="P48" s="639" t="s">
        <v>571</v>
      </c>
      <c r="Q48" s="637" t="s">
        <v>715</v>
      </c>
      <c r="R48" s="634" t="s">
        <v>163</v>
      </c>
      <c r="S48" s="634" t="s">
        <v>164</v>
      </c>
      <c r="T48" s="568">
        <v>0.3</v>
      </c>
      <c r="U48" s="568">
        <v>0</v>
      </c>
      <c r="V48" s="549">
        <f>+U48/T48</f>
        <v>0</v>
      </c>
      <c r="W48" s="569">
        <f t="shared" si="3"/>
        <v>0.3</v>
      </c>
      <c r="X48" s="569">
        <f t="shared" si="3"/>
        <v>0</v>
      </c>
      <c r="Y48" s="549">
        <f t="shared" si="1"/>
        <v>0</v>
      </c>
      <c r="Z48" s="642" t="s">
        <v>745</v>
      </c>
      <c r="AA48" s="632" t="s">
        <v>292</v>
      </c>
      <c r="AB48" s="11"/>
      <c r="AC48" s="11"/>
      <c r="AD48" s="12"/>
      <c r="AE48" s="1"/>
    </row>
    <row r="49" spans="3:31" ht="160.5" customHeight="1" thickBot="1" x14ac:dyDescent="0.3">
      <c r="C49" s="886"/>
      <c r="D49" s="889"/>
      <c r="E49" s="851"/>
      <c r="F49" s="854"/>
      <c r="G49" s="833"/>
      <c r="H49" s="836"/>
      <c r="I49" s="839"/>
      <c r="J49" s="842"/>
      <c r="K49" s="836"/>
      <c r="L49" s="845"/>
      <c r="M49" s="848"/>
      <c r="N49" s="577" t="s">
        <v>572</v>
      </c>
      <c r="O49" s="544" t="s">
        <v>713</v>
      </c>
      <c r="P49" s="543" t="s">
        <v>573</v>
      </c>
      <c r="Q49" s="544" t="s">
        <v>716</v>
      </c>
      <c r="R49" s="545" t="s">
        <v>695</v>
      </c>
      <c r="S49" s="545" t="s">
        <v>42</v>
      </c>
      <c r="T49" s="566">
        <v>0</v>
      </c>
      <c r="U49" s="566">
        <v>0</v>
      </c>
      <c r="V49" s="653">
        <v>1</v>
      </c>
      <c r="W49" s="566">
        <v>0</v>
      </c>
      <c r="X49" s="566">
        <f>+U49</f>
        <v>0</v>
      </c>
      <c r="Y49" s="653">
        <v>1</v>
      </c>
      <c r="Z49" s="555" t="s">
        <v>736</v>
      </c>
      <c r="AA49" s="249" t="s">
        <v>294</v>
      </c>
      <c r="AB49" s="11"/>
      <c r="AC49" s="11"/>
      <c r="AD49" s="12"/>
      <c r="AE49" s="1"/>
    </row>
    <row r="50" spans="3:31" ht="153.75" customHeight="1" thickBot="1" x14ac:dyDescent="0.3">
      <c r="C50" s="887"/>
      <c r="D50" s="890"/>
      <c r="E50" s="852"/>
      <c r="F50" s="855"/>
      <c r="G50" s="834"/>
      <c r="H50" s="837"/>
      <c r="I50" s="840"/>
      <c r="J50" s="843"/>
      <c r="K50" s="837"/>
      <c r="L50" s="846"/>
      <c r="M50" s="849"/>
      <c r="N50" s="577" t="s">
        <v>574</v>
      </c>
      <c r="O50" s="544" t="s">
        <v>718</v>
      </c>
      <c r="P50" s="543" t="s">
        <v>575</v>
      </c>
      <c r="Q50" s="544" t="s">
        <v>701</v>
      </c>
      <c r="R50" s="545" t="s">
        <v>696</v>
      </c>
      <c r="S50" s="545" t="s">
        <v>164</v>
      </c>
      <c r="T50" s="545">
        <v>0.05</v>
      </c>
      <c r="U50" s="545">
        <v>0</v>
      </c>
      <c r="V50" s="556">
        <f t="shared" si="0"/>
        <v>0</v>
      </c>
      <c r="W50" s="559">
        <f>+T50</f>
        <v>0.05</v>
      </c>
      <c r="X50" s="559">
        <f>+U50</f>
        <v>0</v>
      </c>
      <c r="Y50" s="556">
        <f t="shared" si="1"/>
        <v>0</v>
      </c>
      <c r="Z50" s="567" t="s">
        <v>510</v>
      </c>
      <c r="AA50" s="254" t="s">
        <v>772</v>
      </c>
      <c r="AB50" s="11"/>
      <c r="AC50" s="11"/>
      <c r="AD50" s="12"/>
      <c r="AE50" s="1"/>
    </row>
    <row r="51" spans="3:31" ht="203.25" customHeight="1" thickBot="1" x14ac:dyDescent="0.3">
      <c r="C51" s="885" t="s">
        <v>18</v>
      </c>
      <c r="D51" s="888" t="s">
        <v>19</v>
      </c>
      <c r="E51" s="850">
        <v>3</v>
      </c>
      <c r="F51" s="853" t="s">
        <v>70</v>
      </c>
      <c r="G51" s="832">
        <v>309</v>
      </c>
      <c r="H51" s="835" t="s">
        <v>192</v>
      </c>
      <c r="I51" s="838">
        <v>0.05</v>
      </c>
      <c r="J51" s="841" t="s">
        <v>193</v>
      </c>
      <c r="K51" s="835" t="s">
        <v>194</v>
      </c>
      <c r="L51" s="844" t="s">
        <v>81</v>
      </c>
      <c r="M51" s="847">
        <v>1</v>
      </c>
      <c r="N51" s="577" t="s">
        <v>208</v>
      </c>
      <c r="O51" s="544" t="s">
        <v>199</v>
      </c>
      <c r="P51" s="543" t="s">
        <v>210</v>
      </c>
      <c r="Q51" s="544" t="s">
        <v>706</v>
      </c>
      <c r="R51" s="545" t="s">
        <v>202</v>
      </c>
      <c r="S51" s="545" t="s">
        <v>42</v>
      </c>
      <c r="T51" s="554">
        <v>1</v>
      </c>
      <c r="U51" s="554">
        <v>1</v>
      </c>
      <c r="V51" s="653">
        <f t="shared" si="0"/>
        <v>1</v>
      </c>
      <c r="W51" s="554">
        <f t="shared" ref="W51:X58" si="4">+T51</f>
        <v>1</v>
      </c>
      <c r="X51" s="554">
        <f t="shared" si="4"/>
        <v>1</v>
      </c>
      <c r="Y51" s="653">
        <f t="shared" si="1"/>
        <v>1</v>
      </c>
      <c r="Z51" s="570" t="s">
        <v>747</v>
      </c>
      <c r="AA51" s="254" t="s">
        <v>773</v>
      </c>
      <c r="AB51" s="20"/>
      <c r="AC51" s="20"/>
      <c r="AD51" s="21"/>
      <c r="AE51" s="1"/>
    </row>
    <row r="52" spans="3:31" ht="124.5" customHeight="1" thickBot="1" x14ac:dyDescent="0.3">
      <c r="C52" s="886"/>
      <c r="D52" s="889"/>
      <c r="E52" s="851"/>
      <c r="F52" s="854"/>
      <c r="G52" s="833"/>
      <c r="H52" s="836"/>
      <c r="I52" s="839"/>
      <c r="J52" s="842"/>
      <c r="K52" s="836"/>
      <c r="L52" s="845"/>
      <c r="M52" s="848"/>
      <c r="N52" s="577" t="s">
        <v>561</v>
      </c>
      <c r="O52" s="544" t="s">
        <v>705</v>
      </c>
      <c r="P52" s="543" t="s">
        <v>562</v>
      </c>
      <c r="Q52" s="544" t="s">
        <v>206</v>
      </c>
      <c r="R52" s="545" t="s">
        <v>207</v>
      </c>
      <c r="S52" s="545" t="s">
        <v>42</v>
      </c>
      <c r="T52" s="554">
        <v>4</v>
      </c>
      <c r="U52" s="554">
        <v>0</v>
      </c>
      <c r="V52" s="549">
        <f t="shared" si="0"/>
        <v>0</v>
      </c>
      <c r="W52" s="554">
        <f t="shared" si="4"/>
        <v>4</v>
      </c>
      <c r="X52" s="554">
        <f t="shared" si="4"/>
        <v>0</v>
      </c>
      <c r="Y52" s="549">
        <f t="shared" si="1"/>
        <v>0</v>
      </c>
      <c r="Z52" s="642" t="s">
        <v>510</v>
      </c>
      <c r="AA52" s="629" t="s">
        <v>765</v>
      </c>
      <c r="AB52" s="20"/>
      <c r="AC52" s="20"/>
      <c r="AD52" s="21"/>
      <c r="AE52" s="1"/>
    </row>
    <row r="53" spans="3:31" ht="137.25" customHeight="1" thickBot="1" x14ac:dyDescent="0.3">
      <c r="C53" s="886"/>
      <c r="D53" s="889"/>
      <c r="E53" s="851"/>
      <c r="F53" s="854"/>
      <c r="G53" s="833"/>
      <c r="H53" s="836"/>
      <c r="I53" s="839"/>
      <c r="J53" s="842"/>
      <c r="K53" s="836"/>
      <c r="L53" s="845"/>
      <c r="M53" s="848"/>
      <c r="N53" s="577" t="s">
        <v>563</v>
      </c>
      <c r="O53" s="544" t="s">
        <v>209</v>
      </c>
      <c r="P53" s="543" t="s">
        <v>564</v>
      </c>
      <c r="Q53" s="544" t="s">
        <v>717</v>
      </c>
      <c r="R53" s="545" t="s">
        <v>194</v>
      </c>
      <c r="S53" s="545" t="s">
        <v>42</v>
      </c>
      <c r="T53" s="554">
        <v>0</v>
      </c>
      <c r="U53" s="554">
        <v>0</v>
      </c>
      <c r="V53" s="549" t="e">
        <f t="shared" si="0"/>
        <v>#DIV/0!</v>
      </c>
      <c r="W53" s="554">
        <f t="shared" si="4"/>
        <v>0</v>
      </c>
      <c r="X53" s="554">
        <f t="shared" si="4"/>
        <v>0</v>
      </c>
      <c r="Y53" s="549" t="e">
        <f t="shared" si="1"/>
        <v>#DIV/0!</v>
      </c>
      <c r="Z53" s="555" t="s">
        <v>736</v>
      </c>
      <c r="AA53" s="632" t="s">
        <v>292</v>
      </c>
      <c r="AB53" s="20"/>
      <c r="AC53" s="20"/>
      <c r="AD53" s="21"/>
      <c r="AE53" s="1"/>
    </row>
    <row r="54" spans="3:31" ht="269.25" customHeight="1" thickBot="1" x14ac:dyDescent="0.3">
      <c r="C54" s="886"/>
      <c r="D54" s="889"/>
      <c r="E54" s="851"/>
      <c r="F54" s="854"/>
      <c r="G54" s="833"/>
      <c r="H54" s="836"/>
      <c r="I54" s="839"/>
      <c r="J54" s="842"/>
      <c r="K54" s="836"/>
      <c r="L54" s="845"/>
      <c r="M54" s="848"/>
      <c r="N54" s="983" t="s">
        <v>211</v>
      </c>
      <c r="O54" s="986" t="s">
        <v>212</v>
      </c>
      <c r="P54" s="543" t="s">
        <v>213</v>
      </c>
      <c r="Q54" s="544" t="s">
        <v>217</v>
      </c>
      <c r="R54" s="545" t="s">
        <v>218</v>
      </c>
      <c r="S54" s="545" t="s">
        <v>700</v>
      </c>
      <c r="T54" s="554">
        <v>10</v>
      </c>
      <c r="U54" s="571">
        <v>11.4</v>
      </c>
      <c r="V54" s="549">
        <f>+T54/U54</f>
        <v>0.8771929824561403</v>
      </c>
      <c r="W54" s="554">
        <f t="shared" si="4"/>
        <v>10</v>
      </c>
      <c r="X54" s="571">
        <f t="shared" si="4"/>
        <v>11.4</v>
      </c>
      <c r="Y54" s="549">
        <f>+W54/X54</f>
        <v>0.8771929824561403</v>
      </c>
      <c r="Z54" s="555" t="s">
        <v>746</v>
      </c>
      <c r="AA54" s="253" t="s">
        <v>774</v>
      </c>
      <c r="AB54" s="20"/>
      <c r="AC54" s="20"/>
      <c r="AD54" s="21"/>
      <c r="AE54" s="1"/>
    </row>
    <row r="55" spans="3:31" ht="234" customHeight="1" thickBot="1" x14ac:dyDescent="0.3">
      <c r="C55" s="886"/>
      <c r="D55" s="889"/>
      <c r="E55" s="851"/>
      <c r="F55" s="854"/>
      <c r="G55" s="833"/>
      <c r="H55" s="836"/>
      <c r="I55" s="839"/>
      <c r="J55" s="842"/>
      <c r="K55" s="836"/>
      <c r="L55" s="845"/>
      <c r="M55" s="848"/>
      <c r="N55" s="984"/>
      <c r="O55" s="988"/>
      <c r="P55" s="543" t="s">
        <v>216</v>
      </c>
      <c r="Q55" s="544" t="s">
        <v>221</v>
      </c>
      <c r="R55" s="545" t="s">
        <v>222</v>
      </c>
      <c r="S55" s="545" t="s">
        <v>223</v>
      </c>
      <c r="T55" s="545">
        <v>1</v>
      </c>
      <c r="U55" s="545">
        <v>1</v>
      </c>
      <c r="V55" s="549">
        <f t="shared" si="0"/>
        <v>1</v>
      </c>
      <c r="W55" s="545">
        <f t="shared" si="4"/>
        <v>1</v>
      </c>
      <c r="X55" s="563">
        <f t="shared" si="4"/>
        <v>1</v>
      </c>
      <c r="Y55" s="549">
        <f t="shared" si="1"/>
        <v>1</v>
      </c>
      <c r="Z55" s="572" t="s">
        <v>775</v>
      </c>
      <c r="AA55" s="249" t="s">
        <v>293</v>
      </c>
      <c r="AB55" s="20"/>
      <c r="AC55" s="20"/>
      <c r="AD55" s="21"/>
      <c r="AE55" s="1"/>
    </row>
    <row r="56" spans="3:31" ht="133.5" customHeight="1" thickBot="1" x14ac:dyDescent="0.3">
      <c r="C56" s="886"/>
      <c r="D56" s="889"/>
      <c r="E56" s="851"/>
      <c r="F56" s="854"/>
      <c r="G56" s="833"/>
      <c r="H56" s="836"/>
      <c r="I56" s="839"/>
      <c r="J56" s="842"/>
      <c r="K56" s="836"/>
      <c r="L56" s="845"/>
      <c r="M56" s="848"/>
      <c r="N56" s="577" t="s">
        <v>224</v>
      </c>
      <c r="O56" s="544" t="s">
        <v>225</v>
      </c>
      <c r="P56" s="543" t="s">
        <v>226</v>
      </c>
      <c r="Q56" s="544" t="s">
        <v>227</v>
      </c>
      <c r="R56" s="545" t="s">
        <v>228</v>
      </c>
      <c r="S56" s="545" t="s">
        <v>229</v>
      </c>
      <c r="T56" s="545">
        <v>0.18</v>
      </c>
      <c r="U56" s="545">
        <v>0</v>
      </c>
      <c r="V56" s="556">
        <f>+U56/T56</f>
        <v>0</v>
      </c>
      <c r="W56" s="545">
        <f t="shared" si="4"/>
        <v>0.18</v>
      </c>
      <c r="X56" s="564">
        <f t="shared" si="4"/>
        <v>0</v>
      </c>
      <c r="Y56" s="556">
        <f t="shared" si="1"/>
        <v>0</v>
      </c>
      <c r="Z56" s="572" t="s">
        <v>510</v>
      </c>
      <c r="AA56" s="253" t="s">
        <v>776</v>
      </c>
      <c r="AB56" s="20"/>
      <c r="AC56" s="20"/>
      <c r="AD56" s="21"/>
      <c r="AE56" s="1"/>
    </row>
    <row r="57" spans="3:31" ht="261" customHeight="1" thickBot="1" x14ac:dyDescent="0.3">
      <c r="C57" s="886"/>
      <c r="D57" s="889"/>
      <c r="E57" s="851"/>
      <c r="F57" s="854"/>
      <c r="G57" s="833"/>
      <c r="H57" s="836"/>
      <c r="I57" s="839"/>
      <c r="J57" s="842"/>
      <c r="K57" s="836"/>
      <c r="L57" s="845"/>
      <c r="M57" s="848"/>
      <c r="N57" s="983" t="s">
        <v>242</v>
      </c>
      <c r="O57" s="987" t="s">
        <v>237</v>
      </c>
      <c r="P57" s="639" t="s">
        <v>244</v>
      </c>
      <c r="Q57" s="637" t="s">
        <v>239</v>
      </c>
      <c r="R57" s="634" t="s">
        <v>240</v>
      </c>
      <c r="S57" s="634" t="s">
        <v>42</v>
      </c>
      <c r="T57" s="640">
        <v>850</v>
      </c>
      <c r="U57" s="640">
        <v>784</v>
      </c>
      <c r="V57" s="561">
        <f t="shared" si="0"/>
        <v>0.9223529411764706</v>
      </c>
      <c r="W57" s="640">
        <f t="shared" si="4"/>
        <v>850</v>
      </c>
      <c r="X57" s="573">
        <f>+U57</f>
        <v>784</v>
      </c>
      <c r="Y57" s="561">
        <f t="shared" si="1"/>
        <v>0.9223529411764706</v>
      </c>
      <c r="Z57" s="574" t="s">
        <v>777</v>
      </c>
      <c r="AA57" s="631" t="s">
        <v>294</v>
      </c>
      <c r="AB57" s="20"/>
      <c r="AC57" s="20"/>
      <c r="AD57" s="427"/>
      <c r="AE57" s="1"/>
    </row>
    <row r="58" spans="3:31" ht="291" customHeight="1" x14ac:dyDescent="0.25">
      <c r="C58" s="886"/>
      <c r="D58" s="889"/>
      <c r="E58" s="851"/>
      <c r="F58" s="854"/>
      <c r="G58" s="833"/>
      <c r="H58" s="836"/>
      <c r="I58" s="839"/>
      <c r="J58" s="842"/>
      <c r="K58" s="836"/>
      <c r="L58" s="845"/>
      <c r="M58" s="848"/>
      <c r="N58" s="985"/>
      <c r="O58" s="987"/>
      <c r="P58" s="1007" t="s">
        <v>298</v>
      </c>
      <c r="Q58" s="1020" t="s">
        <v>332</v>
      </c>
      <c r="R58" s="1020" t="s">
        <v>333</v>
      </c>
      <c r="S58" s="1020" t="s">
        <v>77</v>
      </c>
      <c r="T58" s="1054">
        <v>1</v>
      </c>
      <c r="U58" s="1054">
        <v>0.98</v>
      </c>
      <c r="V58" s="1003">
        <f t="shared" si="0"/>
        <v>0.98</v>
      </c>
      <c r="W58" s="1020">
        <f t="shared" si="4"/>
        <v>1</v>
      </c>
      <c r="X58" s="1056">
        <f>+U58</f>
        <v>0.98</v>
      </c>
      <c r="Y58" s="1003">
        <f t="shared" si="1"/>
        <v>0.98</v>
      </c>
      <c r="Z58" s="1058" t="s">
        <v>778</v>
      </c>
      <c r="AA58" s="927" t="s">
        <v>779</v>
      </c>
      <c r="AB58" s="20"/>
      <c r="AC58" s="20"/>
      <c r="AD58" s="21"/>
      <c r="AE58" s="1"/>
    </row>
    <row r="59" spans="3:31" ht="333.75" customHeight="1" thickBot="1" x14ac:dyDescent="0.3">
      <c r="C59" s="887"/>
      <c r="D59" s="890"/>
      <c r="E59" s="852"/>
      <c r="F59" s="855"/>
      <c r="G59" s="834"/>
      <c r="H59" s="837"/>
      <c r="I59" s="840"/>
      <c r="J59" s="843"/>
      <c r="K59" s="837"/>
      <c r="L59" s="846"/>
      <c r="M59" s="849"/>
      <c r="N59" s="984"/>
      <c r="O59" s="988"/>
      <c r="P59" s="1009"/>
      <c r="Q59" s="1022"/>
      <c r="R59" s="1022"/>
      <c r="S59" s="1022"/>
      <c r="T59" s="1055"/>
      <c r="U59" s="1055"/>
      <c r="V59" s="1004"/>
      <c r="W59" s="1022"/>
      <c r="X59" s="1057"/>
      <c r="Y59" s="1004"/>
      <c r="Z59" s="1059"/>
      <c r="AA59" s="929"/>
      <c r="AB59" s="20"/>
      <c r="AC59" s="20"/>
      <c r="AD59" s="21"/>
      <c r="AE59" s="1"/>
    </row>
    <row r="60" spans="3:31" ht="366" customHeight="1" thickBot="1" x14ac:dyDescent="0.3">
      <c r="C60" s="886" t="s">
        <v>18</v>
      </c>
      <c r="D60" s="889" t="s">
        <v>19</v>
      </c>
      <c r="E60" s="850">
        <v>3</v>
      </c>
      <c r="F60" s="853" t="s">
        <v>70</v>
      </c>
      <c r="G60" s="833">
        <v>309</v>
      </c>
      <c r="H60" s="836" t="s">
        <v>543</v>
      </c>
      <c r="I60" s="358"/>
      <c r="J60" s="842" t="s">
        <v>193</v>
      </c>
      <c r="K60" s="836" t="s">
        <v>544</v>
      </c>
      <c r="L60" s="845" t="s">
        <v>81</v>
      </c>
      <c r="M60" s="645"/>
      <c r="N60" s="985" t="s">
        <v>236</v>
      </c>
      <c r="O60" s="1052" t="s">
        <v>697</v>
      </c>
      <c r="P60" s="639" t="s">
        <v>238</v>
      </c>
      <c r="Q60" s="637" t="s">
        <v>698</v>
      </c>
      <c r="R60" s="634" t="s">
        <v>699</v>
      </c>
      <c r="S60" s="634" t="s">
        <v>229</v>
      </c>
      <c r="T60" s="635">
        <v>0.25</v>
      </c>
      <c r="U60" s="635">
        <v>0.19</v>
      </c>
      <c r="V60" s="561">
        <f>+U60/T60</f>
        <v>0.76</v>
      </c>
      <c r="W60" s="651">
        <f t="shared" ref="W60:X62" si="5">+T60</f>
        <v>0.25</v>
      </c>
      <c r="X60" s="635">
        <f t="shared" si="5"/>
        <v>0.19</v>
      </c>
      <c r="Y60" s="561">
        <f t="shared" si="1"/>
        <v>0.76</v>
      </c>
      <c r="Z60" s="636" t="s">
        <v>780</v>
      </c>
      <c r="AA60" s="652" t="s">
        <v>781</v>
      </c>
      <c r="AB60" s="20"/>
      <c r="AC60" s="20"/>
      <c r="AD60" s="21"/>
      <c r="AE60" s="1"/>
    </row>
    <row r="61" spans="3:31" ht="338.25" customHeight="1" thickBot="1" x14ac:dyDescent="0.3">
      <c r="C61" s="886"/>
      <c r="D61" s="889"/>
      <c r="E61" s="852"/>
      <c r="F61" s="855"/>
      <c r="G61" s="834"/>
      <c r="H61" s="837"/>
      <c r="I61" s="359"/>
      <c r="J61" s="843"/>
      <c r="K61" s="837"/>
      <c r="L61" s="846"/>
      <c r="M61" s="644"/>
      <c r="N61" s="984"/>
      <c r="O61" s="1053"/>
      <c r="P61" s="543" t="s">
        <v>241</v>
      </c>
      <c r="Q61" s="544" t="s">
        <v>334</v>
      </c>
      <c r="R61" s="545" t="s">
        <v>228</v>
      </c>
      <c r="S61" s="545" t="s">
        <v>164</v>
      </c>
      <c r="T61" s="559">
        <v>0.29160000000000003</v>
      </c>
      <c r="U61" s="559">
        <v>0.22500000000000001</v>
      </c>
      <c r="V61" s="549">
        <f>+U61/T61</f>
        <v>0.77160493827160492</v>
      </c>
      <c r="W61" s="557">
        <f t="shared" si="5"/>
        <v>0.29160000000000003</v>
      </c>
      <c r="X61" s="563">
        <f t="shared" si="5"/>
        <v>0.22500000000000001</v>
      </c>
      <c r="Y61" s="549">
        <f>+X61/W61</f>
        <v>0.77160493827160492</v>
      </c>
      <c r="Z61" s="572" t="s">
        <v>782</v>
      </c>
      <c r="AA61" s="267" t="s">
        <v>783</v>
      </c>
      <c r="AB61" s="20"/>
      <c r="AC61" s="20"/>
      <c r="AD61" s="21"/>
      <c r="AE61" s="1"/>
    </row>
    <row r="62" spans="3:31" ht="162.75" customHeight="1" x14ac:dyDescent="0.25">
      <c r="C62" s="886"/>
      <c r="D62" s="889"/>
      <c r="E62" s="850">
        <v>4</v>
      </c>
      <c r="F62" s="853" t="s">
        <v>246</v>
      </c>
      <c r="G62" s="832">
        <v>401</v>
      </c>
      <c r="H62" s="835" t="s">
        <v>247</v>
      </c>
      <c r="I62" s="838">
        <v>0.35</v>
      </c>
      <c r="J62" s="841" t="s">
        <v>248</v>
      </c>
      <c r="K62" s="835" t="s">
        <v>249</v>
      </c>
      <c r="L62" s="844" t="s">
        <v>81</v>
      </c>
      <c r="M62" s="826">
        <v>1</v>
      </c>
      <c r="N62" s="1062" t="s">
        <v>578</v>
      </c>
      <c r="O62" s="1064" t="s">
        <v>687</v>
      </c>
      <c r="P62" s="1066" t="s">
        <v>579</v>
      </c>
      <c r="Q62" s="1064" t="s">
        <v>688</v>
      </c>
      <c r="R62" s="1068" t="s">
        <v>686</v>
      </c>
      <c r="S62" s="1068" t="s">
        <v>42</v>
      </c>
      <c r="T62" s="1060">
        <v>4</v>
      </c>
      <c r="U62" s="1060">
        <v>2</v>
      </c>
      <c r="V62" s="1003">
        <f t="shared" si="0"/>
        <v>0.5</v>
      </c>
      <c r="W62" s="1060">
        <f t="shared" si="5"/>
        <v>4</v>
      </c>
      <c r="X62" s="1060">
        <f t="shared" si="5"/>
        <v>2</v>
      </c>
      <c r="Y62" s="1003">
        <f t="shared" si="1"/>
        <v>0.5</v>
      </c>
      <c r="Z62" s="1072" t="s">
        <v>784</v>
      </c>
      <c r="AA62" s="818" t="s">
        <v>785</v>
      </c>
      <c r="AB62" s="22"/>
      <c r="AC62" s="22"/>
      <c r="AD62" s="23"/>
      <c r="AE62" s="1"/>
    </row>
    <row r="63" spans="3:31" ht="204.75" customHeight="1" thickBot="1" x14ac:dyDescent="0.3">
      <c r="C63" s="886"/>
      <c r="D63" s="889"/>
      <c r="E63" s="851"/>
      <c r="F63" s="854"/>
      <c r="G63" s="834"/>
      <c r="H63" s="837"/>
      <c r="I63" s="840"/>
      <c r="J63" s="843"/>
      <c r="K63" s="837"/>
      <c r="L63" s="846"/>
      <c r="M63" s="827"/>
      <c r="N63" s="1063"/>
      <c r="O63" s="1065"/>
      <c r="P63" s="1067"/>
      <c r="Q63" s="1065"/>
      <c r="R63" s="1069"/>
      <c r="S63" s="1069"/>
      <c r="T63" s="1061"/>
      <c r="U63" s="1061"/>
      <c r="V63" s="1004"/>
      <c r="W63" s="1061"/>
      <c r="X63" s="1061"/>
      <c r="Y63" s="1004"/>
      <c r="Z63" s="1073"/>
      <c r="AA63" s="819"/>
      <c r="AB63" s="22"/>
      <c r="AC63" s="22"/>
      <c r="AD63" s="23"/>
      <c r="AE63" s="1"/>
    </row>
    <row r="64" spans="3:31" ht="161.25" customHeight="1" thickBot="1" x14ac:dyDescent="0.3">
      <c r="C64" s="886"/>
      <c r="D64" s="889"/>
      <c r="E64" s="851"/>
      <c r="F64" s="854"/>
      <c r="G64" s="832">
        <v>402</v>
      </c>
      <c r="H64" s="835" t="s">
        <v>286</v>
      </c>
      <c r="I64" s="838">
        <v>0.35</v>
      </c>
      <c r="J64" s="14" t="s">
        <v>252</v>
      </c>
      <c r="K64" s="47" t="s">
        <v>253</v>
      </c>
      <c r="L64" s="72" t="s">
        <v>81</v>
      </c>
      <c r="M64" s="46">
        <v>0.6</v>
      </c>
      <c r="N64" s="1062" t="s">
        <v>580</v>
      </c>
      <c r="O64" s="1070" t="s">
        <v>690</v>
      </c>
      <c r="P64" s="1066" t="s">
        <v>581</v>
      </c>
      <c r="Q64" s="1064" t="s">
        <v>691</v>
      </c>
      <c r="R64" s="1068" t="s">
        <v>689</v>
      </c>
      <c r="S64" s="1068" t="s">
        <v>256</v>
      </c>
      <c r="T64" s="1068">
        <v>0</v>
      </c>
      <c r="U64" s="1068">
        <v>0</v>
      </c>
      <c r="V64" s="1003" t="e">
        <f t="shared" si="0"/>
        <v>#DIV/0!</v>
      </c>
      <c r="W64" s="1068">
        <v>0</v>
      </c>
      <c r="X64" s="1068">
        <f>+U64</f>
        <v>0</v>
      </c>
      <c r="Y64" s="1003" t="e">
        <f t="shared" si="1"/>
        <v>#DIV/0!</v>
      </c>
      <c r="Z64" s="1050" t="s">
        <v>736</v>
      </c>
      <c r="AA64" s="818" t="s">
        <v>786</v>
      </c>
      <c r="AB64" s="24"/>
      <c r="AC64" s="24"/>
      <c r="AD64" s="25"/>
      <c r="AE64" s="1"/>
    </row>
    <row r="65" spans="1:31" ht="99" customHeight="1" thickBot="1" x14ac:dyDescent="0.3">
      <c r="C65" s="886"/>
      <c r="D65" s="889"/>
      <c r="E65" s="851"/>
      <c r="F65" s="854"/>
      <c r="G65" s="834"/>
      <c r="H65" s="837"/>
      <c r="I65" s="840"/>
      <c r="J65" s="14" t="s">
        <v>257</v>
      </c>
      <c r="K65" s="621" t="s">
        <v>717</v>
      </c>
      <c r="L65" s="603" t="s">
        <v>81</v>
      </c>
      <c r="M65" s="609">
        <v>0.4</v>
      </c>
      <c r="N65" s="1063"/>
      <c r="O65" s="1071"/>
      <c r="P65" s="1067"/>
      <c r="Q65" s="1065"/>
      <c r="R65" s="1069"/>
      <c r="S65" s="1069"/>
      <c r="T65" s="1069"/>
      <c r="U65" s="1069"/>
      <c r="V65" s="1004"/>
      <c r="W65" s="1069"/>
      <c r="X65" s="1069"/>
      <c r="Y65" s="1004"/>
      <c r="Z65" s="1051"/>
      <c r="AA65" s="819"/>
      <c r="AB65" s="24"/>
      <c r="AC65" s="24"/>
      <c r="AD65" s="25"/>
      <c r="AE65" s="1"/>
    </row>
    <row r="66" spans="1:31" ht="226.5" customHeight="1" thickBot="1" x14ac:dyDescent="0.3">
      <c r="C66" s="887"/>
      <c r="D66" s="890"/>
      <c r="E66" s="852"/>
      <c r="F66" s="855"/>
      <c r="G66" s="617">
        <v>403</v>
      </c>
      <c r="H66" s="621" t="s">
        <v>258</v>
      </c>
      <c r="I66" s="626">
        <v>0.3</v>
      </c>
      <c r="J66" s="14" t="s">
        <v>259</v>
      </c>
      <c r="K66" s="621" t="s">
        <v>260</v>
      </c>
      <c r="L66" s="603" t="s">
        <v>81</v>
      </c>
      <c r="M66" s="609">
        <v>1</v>
      </c>
      <c r="N66" s="647" t="s">
        <v>203</v>
      </c>
      <c r="O66" s="578" t="s">
        <v>704</v>
      </c>
      <c r="P66" s="579" t="s">
        <v>205</v>
      </c>
      <c r="Q66" s="578" t="s">
        <v>194</v>
      </c>
      <c r="R66" s="580" t="s">
        <v>194</v>
      </c>
      <c r="S66" s="580" t="s">
        <v>42</v>
      </c>
      <c r="T66" s="575">
        <v>0</v>
      </c>
      <c r="U66" s="575">
        <v>1</v>
      </c>
      <c r="V66" s="576">
        <v>1</v>
      </c>
      <c r="W66" s="575">
        <f>+T66</f>
        <v>0</v>
      </c>
      <c r="X66" s="575">
        <f>+U66</f>
        <v>1</v>
      </c>
      <c r="Y66" s="576">
        <v>1</v>
      </c>
      <c r="Z66" s="570" t="s">
        <v>742</v>
      </c>
      <c r="AA66" s="254" t="s">
        <v>787</v>
      </c>
      <c r="AB66" s="22"/>
      <c r="AC66" s="22"/>
      <c r="AD66" s="23"/>
      <c r="AE66" s="1"/>
    </row>
    <row r="67" spans="1:31" ht="12.75" customHeight="1" x14ac:dyDescent="0.35">
      <c r="E67" s="26"/>
      <c r="F67" s="2"/>
      <c r="G67" s="1"/>
      <c r="H67" s="3"/>
      <c r="I67" s="4"/>
      <c r="J67" s="1"/>
      <c r="K67" s="3"/>
      <c r="L67" s="5"/>
      <c r="M67" s="27"/>
      <c r="N67" s="27"/>
      <c r="O67" s="27"/>
      <c r="P67" s="27"/>
      <c r="Q67" s="27"/>
      <c r="R67" s="27"/>
      <c r="S67" s="27"/>
      <c r="T67" s="27"/>
      <c r="U67" s="27"/>
      <c r="V67" s="27"/>
      <c r="W67" s="27"/>
      <c r="X67" s="27"/>
      <c r="Y67" s="27"/>
      <c r="Z67" s="27"/>
      <c r="AA67" s="27"/>
      <c r="AB67" s="27"/>
      <c r="AC67" s="27"/>
      <c r="AD67" s="27"/>
      <c r="AE67" s="1"/>
    </row>
    <row r="68" spans="1:31" s="29" customFormat="1" x14ac:dyDescent="0.35">
      <c r="A68" s="2"/>
      <c r="B68" s="2"/>
      <c r="C68" s="2"/>
      <c r="D68" s="2"/>
      <c r="E68" s="1"/>
      <c r="F68" s="2"/>
      <c r="G68" s="1"/>
      <c r="H68" s="3"/>
      <c r="I68" s="28"/>
      <c r="J68" s="1"/>
      <c r="K68" s="3"/>
      <c r="L68" s="5"/>
      <c r="M68" s="1"/>
      <c r="N68" s="1"/>
      <c r="O68" s="1"/>
      <c r="P68" s="1"/>
      <c r="Q68" s="1"/>
      <c r="R68" s="1"/>
      <c r="S68" s="1"/>
      <c r="T68" s="1"/>
      <c r="U68" s="1"/>
      <c r="V68" s="1"/>
      <c r="W68" s="1"/>
      <c r="X68" s="1"/>
      <c r="Y68" s="1"/>
      <c r="Z68" s="1"/>
      <c r="AA68" s="1"/>
      <c r="AB68" s="1"/>
      <c r="AC68" s="1"/>
      <c r="AD68" s="1"/>
      <c r="AE68" s="2"/>
    </row>
    <row r="69" spans="1:31" x14ac:dyDescent="0.35">
      <c r="E69" s="1"/>
      <c r="F69" s="2"/>
      <c r="G69" s="1"/>
      <c r="H69" s="3"/>
      <c r="I69" s="4"/>
      <c r="J69" s="1"/>
      <c r="K69" s="3"/>
      <c r="L69" s="5"/>
      <c r="M69" s="1"/>
      <c r="N69" s="1"/>
      <c r="O69" s="1"/>
      <c r="P69" s="1"/>
      <c r="Q69" s="1"/>
      <c r="R69" s="1"/>
      <c r="S69" s="1"/>
      <c r="T69" s="1"/>
      <c r="U69" s="1"/>
      <c r="V69" s="1"/>
      <c r="W69" s="1"/>
      <c r="X69" s="1"/>
      <c r="Y69" s="1"/>
      <c r="Z69" s="1"/>
      <c r="AA69" s="1"/>
      <c r="AB69" s="1"/>
      <c r="AC69" s="1"/>
      <c r="AD69" s="1"/>
      <c r="AE69" s="1"/>
    </row>
    <row r="70" spans="1:31" x14ac:dyDescent="0.35">
      <c r="E70" s="1"/>
      <c r="F70" s="2"/>
      <c r="G70" s="1"/>
      <c r="H70" s="3"/>
      <c r="I70" s="4"/>
      <c r="J70" s="1"/>
      <c r="K70" s="3"/>
      <c r="L70" s="5"/>
      <c r="M70" s="1"/>
      <c r="N70" s="1"/>
      <c r="O70" s="1"/>
      <c r="P70" s="1"/>
      <c r="Q70" s="1"/>
      <c r="R70" s="1"/>
      <c r="S70" s="1"/>
      <c r="T70" s="1"/>
      <c r="U70" s="1"/>
      <c r="V70" s="1"/>
      <c r="W70" s="1"/>
      <c r="X70" s="1"/>
      <c r="Y70" s="1"/>
      <c r="Z70" s="1"/>
      <c r="AA70" s="1"/>
      <c r="AB70" s="1"/>
      <c r="AC70" s="1"/>
      <c r="AD70" s="1"/>
      <c r="AE70" s="1"/>
    </row>
  </sheetData>
  <mergeCells count="259">
    <mergeCell ref="AA64:AA65"/>
    <mergeCell ref="Q64:Q65"/>
    <mergeCell ref="R64:R65"/>
    <mergeCell ref="S64:S65"/>
    <mergeCell ref="T64:T65"/>
    <mergeCell ref="U64:U65"/>
    <mergeCell ref="V64:V65"/>
    <mergeCell ref="C26:C32"/>
    <mergeCell ref="D26:D32"/>
    <mergeCell ref="F26:F32"/>
    <mergeCell ref="E26:E32"/>
    <mergeCell ref="F51:F59"/>
    <mergeCell ref="E51:E59"/>
    <mergeCell ref="D60:D66"/>
    <mergeCell ref="C51:C59"/>
    <mergeCell ref="D51:D59"/>
    <mergeCell ref="C60:C66"/>
    <mergeCell ref="F60:F61"/>
    <mergeCell ref="E60:E61"/>
    <mergeCell ref="Z62:Z63"/>
    <mergeCell ref="AA62:AA63"/>
    <mergeCell ref="G64:G65"/>
    <mergeCell ref="H64:H65"/>
    <mergeCell ref="I64:I65"/>
    <mergeCell ref="L62:L63"/>
    <mergeCell ref="M62:M63"/>
    <mergeCell ref="N62:N63"/>
    <mergeCell ref="O62:O63"/>
    <mergeCell ref="P62:P63"/>
    <mergeCell ref="Q62:Q63"/>
    <mergeCell ref="W64:W65"/>
    <mergeCell ref="X64:X65"/>
    <mergeCell ref="Y64:Y65"/>
    <mergeCell ref="Y62:Y63"/>
    <mergeCell ref="N64:N65"/>
    <mergeCell ref="O64:O65"/>
    <mergeCell ref="P64:P65"/>
    <mergeCell ref="R62:R63"/>
    <mergeCell ref="S62:S63"/>
    <mergeCell ref="T62:T63"/>
    <mergeCell ref="U62:U63"/>
    <mergeCell ref="V62:V63"/>
    <mergeCell ref="W62:W63"/>
    <mergeCell ref="Z64:Z65"/>
    <mergeCell ref="AA58:AA59"/>
    <mergeCell ref="N60:N61"/>
    <mergeCell ref="O60:O61"/>
    <mergeCell ref="E62:E66"/>
    <mergeCell ref="F62:F66"/>
    <mergeCell ref="G62:G63"/>
    <mergeCell ref="H62:H63"/>
    <mergeCell ref="I62:I63"/>
    <mergeCell ref="J62:J63"/>
    <mergeCell ref="K62:K63"/>
    <mergeCell ref="U58:U59"/>
    <mergeCell ref="V58:V59"/>
    <mergeCell ref="W58:W59"/>
    <mergeCell ref="X58:X59"/>
    <mergeCell ref="Y58:Y59"/>
    <mergeCell ref="Z58:Z59"/>
    <mergeCell ref="O57:O59"/>
    <mergeCell ref="P58:P59"/>
    <mergeCell ref="Q58:Q59"/>
    <mergeCell ref="R58:R59"/>
    <mergeCell ref="S58:S59"/>
    <mergeCell ref="T58:T59"/>
    <mergeCell ref="X62:X63"/>
    <mergeCell ref="M51:M59"/>
    <mergeCell ref="N57:N59"/>
    <mergeCell ref="N54:N55"/>
    <mergeCell ref="O54:O55"/>
    <mergeCell ref="G60:G61"/>
    <mergeCell ref="H60:H61"/>
    <mergeCell ref="J60:J61"/>
    <mergeCell ref="K60:K61"/>
    <mergeCell ref="L60:L61"/>
    <mergeCell ref="L51:L59"/>
    <mergeCell ref="O45:O47"/>
    <mergeCell ref="J46:J50"/>
    <mergeCell ref="K46:K50"/>
    <mergeCell ref="L46:L50"/>
    <mergeCell ref="J42:J44"/>
    <mergeCell ref="K42:K44"/>
    <mergeCell ref="L42:L44"/>
    <mergeCell ref="M42:M44"/>
    <mergeCell ref="M46:M50"/>
    <mergeCell ref="W38:W40"/>
    <mergeCell ref="X38:X40"/>
    <mergeCell ref="Y38:Y40"/>
    <mergeCell ref="Z38:Z40"/>
    <mergeCell ref="AA38:AA40"/>
    <mergeCell ref="C42:C50"/>
    <mergeCell ref="D42:D50"/>
    <mergeCell ref="E42:E50"/>
    <mergeCell ref="F42:F50"/>
    <mergeCell ref="Q38:Q40"/>
    <mergeCell ref="R38:R40"/>
    <mergeCell ref="S38:S40"/>
    <mergeCell ref="T38:T40"/>
    <mergeCell ref="U38:U40"/>
    <mergeCell ref="V38:V40"/>
    <mergeCell ref="F33:F40"/>
    <mergeCell ref="E33:E40"/>
    <mergeCell ref="C33:C40"/>
    <mergeCell ref="N43:N44"/>
    <mergeCell ref="O43:O44"/>
    <mergeCell ref="G45:G50"/>
    <mergeCell ref="H45:H50"/>
    <mergeCell ref="I45:I50"/>
    <mergeCell ref="N45:N47"/>
    <mergeCell ref="V35:V36"/>
    <mergeCell ref="W35:W36"/>
    <mergeCell ref="X35:X36"/>
    <mergeCell ref="Y35:Y36"/>
    <mergeCell ref="G38:G40"/>
    <mergeCell ref="H38:H40"/>
    <mergeCell ref="I38:I40"/>
    <mergeCell ref="N38:N40"/>
    <mergeCell ref="O38:O40"/>
    <mergeCell ref="P38:P40"/>
    <mergeCell ref="P35:P36"/>
    <mergeCell ref="Q35:Q36"/>
    <mergeCell ref="R35:R36"/>
    <mergeCell ref="S35:S36"/>
    <mergeCell ref="T35:T36"/>
    <mergeCell ref="U35:U36"/>
    <mergeCell ref="I33:I37"/>
    <mergeCell ref="N33:N36"/>
    <mergeCell ref="O33:O36"/>
    <mergeCell ref="J35:J36"/>
    <mergeCell ref="K35:K36"/>
    <mergeCell ref="L35:L36"/>
    <mergeCell ref="M35:M36"/>
    <mergeCell ref="G33:G37"/>
    <mergeCell ref="G30:G32"/>
    <mergeCell ref="H30:H32"/>
    <mergeCell ref="I30:I32"/>
    <mergeCell ref="J30:J32"/>
    <mergeCell ref="K30:K32"/>
    <mergeCell ref="L30:L32"/>
    <mergeCell ref="M30:M32"/>
    <mergeCell ref="N31:N32"/>
    <mergeCell ref="O31:O32"/>
    <mergeCell ref="G26:G29"/>
    <mergeCell ref="H26:H29"/>
    <mergeCell ref="E24:E25"/>
    <mergeCell ref="T16:T22"/>
    <mergeCell ref="U16:U22"/>
    <mergeCell ref="W24:W25"/>
    <mergeCell ref="O26:O27"/>
    <mergeCell ref="I26:I29"/>
    <mergeCell ref="J26:J29"/>
    <mergeCell ref="K26:K29"/>
    <mergeCell ref="L26:L29"/>
    <mergeCell ref="M26:M29"/>
    <mergeCell ref="N26:N27"/>
    <mergeCell ref="J24:J25"/>
    <mergeCell ref="K24:K25"/>
    <mergeCell ref="L24:L25"/>
    <mergeCell ref="M24:M25"/>
    <mergeCell ref="N24:N25"/>
    <mergeCell ref="O24:O25"/>
    <mergeCell ref="V24:V25"/>
    <mergeCell ref="P24:P25"/>
    <mergeCell ref="Q24:Q25"/>
    <mergeCell ref="R24:R25"/>
    <mergeCell ref="S24:S25"/>
    <mergeCell ref="AA10:AA11"/>
    <mergeCell ref="G13:G15"/>
    <mergeCell ref="H13:H15"/>
    <mergeCell ref="I13:I15"/>
    <mergeCell ref="J13:J14"/>
    <mergeCell ref="K13:K14"/>
    <mergeCell ref="L13:L14"/>
    <mergeCell ref="G24:G25"/>
    <mergeCell ref="H24:H25"/>
    <mergeCell ref="I24:I25"/>
    <mergeCell ref="X24:X25"/>
    <mergeCell ref="Y24:Y25"/>
    <mergeCell ref="Z24:Z25"/>
    <mergeCell ref="AA24:AA25"/>
    <mergeCell ref="T24:T25"/>
    <mergeCell ref="U24:U25"/>
    <mergeCell ref="AA16:AA22"/>
    <mergeCell ref="G18:G19"/>
    <mergeCell ref="H18:H19"/>
    <mergeCell ref="I18:I19"/>
    <mergeCell ref="G20:G22"/>
    <mergeCell ref="H20:H22"/>
    <mergeCell ref="Q16:Q22"/>
    <mergeCell ref="R16:R22"/>
    <mergeCell ref="S16:S22"/>
    <mergeCell ref="V16:V22"/>
    <mergeCell ref="Z10:Z11"/>
    <mergeCell ref="O10:O11"/>
    <mergeCell ref="P10:P11"/>
    <mergeCell ref="Q10:Q11"/>
    <mergeCell ref="R10:R11"/>
    <mergeCell ref="S10:S11"/>
    <mergeCell ref="Z13:Z15"/>
    <mergeCell ref="T10:T11"/>
    <mergeCell ref="I20:I22"/>
    <mergeCell ref="P16:P22"/>
    <mergeCell ref="W16:W22"/>
    <mergeCell ref="X16:X22"/>
    <mergeCell ref="Y16:Y22"/>
    <mergeCell ref="Z16:Z22"/>
    <mergeCell ref="AA13:AA15"/>
    <mergeCell ref="C2:AA2"/>
    <mergeCell ref="C3:AA3"/>
    <mergeCell ref="C4:AA4"/>
    <mergeCell ref="C6:M6"/>
    <mergeCell ref="N6:AA6"/>
    <mergeCell ref="C7:C8"/>
    <mergeCell ref="D7:D8"/>
    <mergeCell ref="E7:F7"/>
    <mergeCell ref="G7:I7"/>
    <mergeCell ref="J7:M7"/>
    <mergeCell ref="Z7:Z8"/>
    <mergeCell ref="AA7:AA8"/>
    <mergeCell ref="P7:Q7"/>
    <mergeCell ref="R7:R8"/>
    <mergeCell ref="S7:S8"/>
    <mergeCell ref="T7:V7"/>
    <mergeCell ref="W7:Y7"/>
    <mergeCell ref="C9:C23"/>
    <mergeCell ref="D9:D23"/>
    <mergeCell ref="E9:E15"/>
    <mergeCell ref="F9:F15"/>
    <mergeCell ref="G10:G12"/>
    <mergeCell ref="H10:H12"/>
    <mergeCell ref="I10:I12"/>
    <mergeCell ref="N10:N11"/>
    <mergeCell ref="N7:O7"/>
    <mergeCell ref="E16:E22"/>
    <mergeCell ref="F16:F22"/>
    <mergeCell ref="G16:G17"/>
    <mergeCell ref="H16:H17"/>
    <mergeCell ref="I16:I17"/>
    <mergeCell ref="N16:N22"/>
    <mergeCell ref="O16:O22"/>
    <mergeCell ref="M13:M14"/>
    <mergeCell ref="N13:N15"/>
    <mergeCell ref="O13:Y15"/>
    <mergeCell ref="U10:U11"/>
    <mergeCell ref="V10:V11"/>
    <mergeCell ref="W10:W11"/>
    <mergeCell ref="X10:X11"/>
    <mergeCell ref="Y10:Y11"/>
    <mergeCell ref="D33:D40"/>
    <mergeCell ref="G41:G44"/>
    <mergeCell ref="H41:H44"/>
    <mergeCell ref="I41:I44"/>
    <mergeCell ref="G51:G59"/>
    <mergeCell ref="H51:H59"/>
    <mergeCell ref="I51:I59"/>
    <mergeCell ref="J51:J59"/>
    <mergeCell ref="K51:K59"/>
    <mergeCell ref="H33:H37"/>
  </mergeCells>
  <conditionalFormatting sqref="V9:V10 Y10 Y64 V64 V26:V35 V60:V62 Y60:Y62 Y41:Y58 V41:V58 Y26:Y35">
    <cfRule type="cellIs" dxfId="26" priority="10" stopIfTrue="1" operator="greaterThanOrEqual">
      <formula>80.01%</formula>
    </cfRule>
    <cfRule type="cellIs" dxfId="25" priority="11" stopIfTrue="1" operator="between">
      <formula>0.501</formula>
      <formula>0.8</formula>
    </cfRule>
    <cfRule type="cellIs" dxfId="24" priority="12" stopIfTrue="1" operator="lessThanOrEqual">
      <formula>0.5</formula>
    </cfRule>
  </conditionalFormatting>
  <conditionalFormatting sqref="Y9">
    <cfRule type="cellIs" dxfId="23" priority="7" stopIfTrue="1" operator="greaterThanOrEqual">
      <formula>80.01%</formula>
    </cfRule>
    <cfRule type="cellIs" dxfId="22" priority="8" stopIfTrue="1" operator="between">
      <formula>0.501</formula>
      <formula>0.8</formula>
    </cfRule>
    <cfRule type="cellIs" dxfId="21" priority="9" stopIfTrue="1" operator="lessThanOrEqual">
      <formula>0.5</formula>
    </cfRule>
  </conditionalFormatting>
  <conditionalFormatting sqref="V12 V23:V24 V66 V37:V38 V16">
    <cfRule type="cellIs" dxfId="20" priority="4" stopIfTrue="1" operator="greaterThanOrEqual">
      <formula>80.01%</formula>
    </cfRule>
    <cfRule type="cellIs" dxfId="19" priority="5" stopIfTrue="1" operator="between">
      <formula>0.501</formula>
      <formula>0.8</formula>
    </cfRule>
    <cfRule type="cellIs" dxfId="18" priority="6" stopIfTrue="1" operator="lessThanOrEqual">
      <formula>0.5</formula>
    </cfRule>
  </conditionalFormatting>
  <conditionalFormatting sqref="Y12 Y23:Y24 Y66 Y37:Y38 Y16">
    <cfRule type="cellIs" dxfId="17" priority="1" stopIfTrue="1" operator="greaterThanOrEqual">
      <formula>80.01%</formula>
    </cfRule>
    <cfRule type="cellIs" dxfId="16" priority="2" stopIfTrue="1" operator="between">
      <formula>0.501</formula>
      <formula>0.8</formula>
    </cfRule>
    <cfRule type="cellIs" dxfId="15" priority="3" stopIfTrue="1" operator="lessThanOrEqual">
      <formula>0.5</formula>
    </cfRule>
  </conditionalFormatting>
  <pageMargins left="0.39370078740157483" right="0.19685039370078741" top="0.59055118110236227" bottom="0.19685039370078741" header="0.31496062992125984" footer="0"/>
  <pageSetup paperSize="5" scale="23" orientation="landscape" r:id="rId1"/>
  <headerFooter alignWithMargins="0">
    <oddFooter>Página &amp;P de &amp;F</oddFooter>
  </headerFooter>
  <rowBreaks count="5" manualBreakCount="5">
    <brk id="25" max="27" man="1"/>
    <brk id="40" max="27" man="1"/>
    <brk id="50" max="27" man="1"/>
    <brk id="59" max="27" man="1"/>
    <brk id="68" max="27" man="1"/>
  </rowBreaks>
  <colBreaks count="1" manualBreakCount="1">
    <brk id="28" max="73" man="1"/>
  </col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82"/>
  <sheetViews>
    <sheetView tabSelected="1" view="pageBreakPreview" zoomScale="40" zoomScaleNormal="70" zoomScaleSheetLayoutView="40" workbookViewId="0">
      <selection activeCell="J5" sqref="J5"/>
    </sheetView>
  </sheetViews>
  <sheetFormatPr baseColWidth="10" defaultRowHeight="22.5" x14ac:dyDescent="0.35"/>
  <cols>
    <col min="1" max="1" width="2.140625" style="108" customWidth="1"/>
    <col min="2" max="2" width="0.5703125" style="108" customWidth="1"/>
    <col min="3" max="3" width="7" style="113" customWidth="1"/>
    <col min="4" max="4" width="12.85546875" style="243" customWidth="1"/>
    <col min="5" max="5" width="7.7109375" style="113" customWidth="1"/>
    <col min="6" max="6" width="47.140625" style="244" customWidth="1"/>
    <col min="7" max="7" width="48.28515625" style="244" customWidth="1"/>
    <col min="8" max="8" width="15" style="113" customWidth="1"/>
    <col min="9" max="9" width="39.85546875" style="113" customWidth="1"/>
    <col min="10" max="10" width="16.85546875" style="113" customWidth="1"/>
    <col min="11" max="11" width="41.7109375" style="113" customWidth="1"/>
    <col min="12" max="12" width="44.7109375" style="113" customWidth="1"/>
    <col min="13" max="13" width="28.7109375" style="113" customWidth="1"/>
    <col min="14" max="14" width="29.140625" style="113" customWidth="1"/>
    <col min="15" max="15" width="23" style="113" customWidth="1"/>
    <col min="16" max="16" width="29.7109375" style="113" customWidth="1"/>
    <col min="17" max="17" width="29.42578125" style="113" customWidth="1"/>
    <col min="18" max="18" width="22.28515625" style="113" customWidth="1"/>
    <col min="19" max="19" width="6.140625" style="113" customWidth="1"/>
    <col min="20" max="20" width="12.42578125" style="113" customWidth="1"/>
    <col min="21" max="21" width="23.7109375" style="113" customWidth="1"/>
    <col min="22" max="22" width="10.28515625" style="113" customWidth="1"/>
    <col min="23" max="23" width="8" style="113" customWidth="1"/>
    <col min="24" max="16384" width="11.42578125" style="113"/>
  </cols>
  <sheetData>
    <row r="1" spans="3:28" ht="7.5" customHeight="1" x14ac:dyDescent="0.35">
      <c r="C1" s="108"/>
      <c r="D1" s="109"/>
      <c r="E1" s="108"/>
      <c r="F1" s="110"/>
      <c r="G1" s="110"/>
      <c r="H1" s="108"/>
      <c r="I1" s="108"/>
      <c r="J1" s="108"/>
      <c r="K1" s="108"/>
      <c r="L1" s="108"/>
      <c r="M1" s="108"/>
      <c r="N1" s="108"/>
      <c r="O1" s="108"/>
      <c r="P1" s="108"/>
      <c r="Q1" s="108"/>
      <c r="R1" s="108"/>
      <c r="S1" s="108"/>
      <c r="T1" s="108"/>
      <c r="U1" s="108"/>
      <c r="V1" s="108"/>
    </row>
    <row r="2" spans="3:28" ht="39.75" customHeight="1" x14ac:dyDescent="0.25">
      <c r="C2" s="684"/>
      <c r="D2" s="684"/>
      <c r="E2" s="684"/>
      <c r="F2" s="684"/>
      <c r="G2" s="684"/>
      <c r="H2" s="684"/>
      <c r="I2" s="684"/>
      <c r="J2" s="684"/>
      <c r="K2" s="684"/>
      <c r="L2" s="684"/>
      <c r="M2" s="684"/>
      <c r="N2" s="684"/>
      <c r="O2" s="684"/>
      <c r="P2" s="684"/>
      <c r="Q2" s="684"/>
      <c r="R2" s="684"/>
      <c r="S2" s="663"/>
      <c r="T2" s="663"/>
      <c r="U2" s="114"/>
      <c r="V2" s="108"/>
    </row>
    <row r="3" spans="3:28" ht="33" customHeight="1" x14ac:dyDescent="0.25">
      <c r="C3" s="1090" t="s">
        <v>676</v>
      </c>
      <c r="D3" s="1090"/>
      <c r="E3" s="1090"/>
      <c r="F3" s="1090"/>
      <c r="G3" s="1090"/>
      <c r="H3" s="1090"/>
      <c r="I3" s="1090"/>
      <c r="J3" s="1090"/>
      <c r="K3" s="1090"/>
      <c r="L3" s="1090"/>
      <c r="M3" s="1090"/>
      <c r="N3" s="1090"/>
      <c r="O3" s="1090"/>
      <c r="P3" s="1090"/>
      <c r="Q3" s="1090"/>
      <c r="R3" s="1090"/>
      <c r="S3" s="663"/>
      <c r="T3" s="663"/>
      <c r="U3" s="114"/>
      <c r="V3" s="108"/>
    </row>
    <row r="4" spans="3:28" ht="36" customHeight="1" x14ac:dyDescent="0.25">
      <c r="C4" s="1091" t="s">
        <v>803</v>
      </c>
      <c r="D4" s="1091"/>
      <c r="E4" s="1091"/>
      <c r="F4" s="1091"/>
      <c r="G4" s="1091"/>
      <c r="H4" s="1091"/>
      <c r="I4" s="1091"/>
      <c r="J4" s="1091"/>
      <c r="K4" s="1091"/>
      <c r="L4" s="1091"/>
      <c r="M4" s="1091"/>
      <c r="N4" s="1091"/>
      <c r="O4" s="1091"/>
      <c r="P4" s="1091"/>
      <c r="Q4" s="1091"/>
      <c r="R4" s="1091"/>
      <c r="S4" s="664"/>
      <c r="T4" s="664"/>
      <c r="U4" s="115"/>
      <c r="V4" s="108"/>
    </row>
    <row r="5" spans="3:28" ht="19.5" customHeight="1" thickBot="1" x14ac:dyDescent="0.3">
      <c r="C5" s="116"/>
      <c r="D5" s="116"/>
      <c r="E5" s="116"/>
      <c r="F5" s="116"/>
      <c r="G5" s="116"/>
      <c r="H5" s="116"/>
      <c r="I5" s="116"/>
      <c r="J5" s="116"/>
      <c r="K5" s="116"/>
      <c r="L5" s="116"/>
      <c r="M5" s="116"/>
      <c r="N5" s="116"/>
      <c r="O5" s="116"/>
      <c r="P5" s="116"/>
      <c r="Q5" s="116"/>
      <c r="R5" s="116"/>
      <c r="S5" s="116"/>
      <c r="T5" s="116"/>
      <c r="U5" s="116"/>
      <c r="V5" s="108"/>
    </row>
    <row r="6" spans="3:28" ht="42.75" customHeight="1" thickBot="1" x14ac:dyDescent="0.3">
      <c r="C6" s="686" t="s">
        <v>1</v>
      </c>
      <c r="D6" s="687"/>
      <c r="E6" s="687"/>
      <c r="F6" s="687"/>
      <c r="G6" s="687"/>
      <c r="H6" s="689" t="s">
        <v>2</v>
      </c>
      <c r="I6" s="690"/>
      <c r="J6" s="690"/>
      <c r="K6" s="690"/>
      <c r="L6" s="690"/>
      <c r="M6" s="690"/>
      <c r="N6" s="690"/>
      <c r="O6" s="690"/>
      <c r="P6" s="690"/>
      <c r="Q6" s="690"/>
      <c r="R6" s="691"/>
      <c r="S6" s="117"/>
      <c r="T6" s="117"/>
      <c r="U6" s="117"/>
      <c r="V6" s="108"/>
    </row>
    <row r="7" spans="3:28" ht="56.25" customHeight="1" thickBot="1" x14ac:dyDescent="0.3">
      <c r="C7" s="694" t="s">
        <v>5</v>
      </c>
      <c r="D7" s="695"/>
      <c r="E7" s="692" t="s">
        <v>10</v>
      </c>
      <c r="F7" s="1078" t="s">
        <v>12</v>
      </c>
      <c r="G7" s="698" t="s">
        <v>14</v>
      </c>
      <c r="H7" s="1076" t="s">
        <v>17</v>
      </c>
      <c r="I7" s="756" t="s">
        <v>12</v>
      </c>
      <c r="J7" s="758" t="s">
        <v>17</v>
      </c>
      <c r="K7" s="765" t="s">
        <v>14</v>
      </c>
      <c r="L7" s="758" t="s">
        <v>8</v>
      </c>
      <c r="M7" s="720" t="s">
        <v>798</v>
      </c>
      <c r="N7" s="762"/>
      <c r="O7" s="721"/>
      <c r="P7" s="763" t="s">
        <v>797</v>
      </c>
      <c r="Q7" s="764"/>
      <c r="R7" s="765"/>
      <c r="S7" s="118"/>
      <c r="T7" s="118"/>
      <c r="U7" s="118"/>
      <c r="V7" s="108"/>
    </row>
    <row r="8" spans="3:28" ht="94.5" customHeight="1" thickBot="1" x14ac:dyDescent="0.3">
      <c r="C8" s="119" t="s">
        <v>10</v>
      </c>
      <c r="D8" s="119" t="s">
        <v>11</v>
      </c>
      <c r="E8" s="693"/>
      <c r="F8" s="1079"/>
      <c r="G8" s="1080"/>
      <c r="H8" s="1077"/>
      <c r="I8" s="757"/>
      <c r="J8" s="1074"/>
      <c r="K8" s="1075"/>
      <c r="L8" s="759"/>
      <c r="M8" s="124" t="s">
        <v>799</v>
      </c>
      <c r="N8" s="124" t="s">
        <v>800</v>
      </c>
      <c r="O8" s="124" t="s">
        <v>265</v>
      </c>
      <c r="P8" s="124" t="s">
        <v>801</v>
      </c>
      <c r="Q8" s="124" t="s">
        <v>802</v>
      </c>
      <c r="R8" s="124" t="s">
        <v>265</v>
      </c>
      <c r="S8" s="118"/>
      <c r="T8" s="118"/>
      <c r="U8" s="118"/>
      <c r="V8" s="108"/>
    </row>
    <row r="9" spans="3:28" ht="132.75" customHeight="1" thickBot="1" x14ac:dyDescent="0.3">
      <c r="C9" s="1114">
        <v>1</v>
      </c>
      <c r="D9" s="1117" t="s">
        <v>20</v>
      </c>
      <c r="E9" s="125">
        <v>101</v>
      </c>
      <c r="F9" s="126" t="s">
        <v>21</v>
      </c>
      <c r="G9" s="126" t="s">
        <v>23</v>
      </c>
      <c r="H9" s="672" t="s">
        <v>25</v>
      </c>
      <c r="I9" s="131" t="s">
        <v>26</v>
      </c>
      <c r="J9" s="132" t="s">
        <v>27</v>
      </c>
      <c r="K9" s="133" t="s">
        <v>306</v>
      </c>
      <c r="L9" s="134" t="s">
        <v>677</v>
      </c>
      <c r="M9" s="135">
        <v>292325</v>
      </c>
      <c r="N9" s="136">
        <f>-174003-63641</f>
        <v>-237644</v>
      </c>
      <c r="O9" s="50">
        <f>+N9/M9</f>
        <v>-0.81294449670743185</v>
      </c>
      <c r="P9" s="137">
        <v>910372</v>
      </c>
      <c r="Q9" s="138">
        <v>598016</v>
      </c>
      <c r="R9" s="50">
        <f>+Q9/P9</f>
        <v>0.65689190792335439</v>
      </c>
      <c r="S9" s="141"/>
      <c r="T9" s="142"/>
      <c r="U9" s="143"/>
      <c r="V9" s="108"/>
    </row>
    <row r="10" spans="3:28" ht="81" customHeight="1" thickBot="1" x14ac:dyDescent="0.3">
      <c r="C10" s="1115"/>
      <c r="D10" s="1118"/>
      <c r="E10" s="709">
        <v>102</v>
      </c>
      <c r="F10" s="712" t="s">
        <v>29</v>
      </c>
      <c r="G10" s="666" t="s">
        <v>31</v>
      </c>
      <c r="H10" s="732" t="s">
        <v>32</v>
      </c>
      <c r="I10" s="1108" t="s">
        <v>33</v>
      </c>
      <c r="J10" s="1110" t="s">
        <v>34</v>
      </c>
      <c r="K10" s="1108" t="s">
        <v>331</v>
      </c>
      <c r="L10" s="1112" t="s">
        <v>305</v>
      </c>
      <c r="M10" s="754">
        <v>24980</v>
      </c>
      <c r="N10" s="754">
        <v>33425</v>
      </c>
      <c r="O10" s="769">
        <f t="shared" ref="O10:O62" si="0">+N10/M10</f>
        <v>1.338070456365092</v>
      </c>
      <c r="P10" s="754">
        <v>69960</v>
      </c>
      <c r="Q10" s="771">
        <v>94218</v>
      </c>
      <c r="R10" s="769">
        <f t="shared" ref="R10:R62" si="1">+Q10/P10</f>
        <v>1.3467409948542024</v>
      </c>
      <c r="S10" s="141"/>
      <c r="T10" s="142"/>
      <c r="U10" s="147"/>
      <c r="V10" s="108"/>
    </row>
    <row r="11" spans="3:28" ht="96.75" customHeight="1" thickBot="1" x14ac:dyDescent="0.3">
      <c r="C11" s="1115"/>
      <c r="D11" s="1118"/>
      <c r="E11" s="710"/>
      <c r="F11" s="713"/>
      <c r="G11" s="149" t="s">
        <v>36</v>
      </c>
      <c r="H11" s="734"/>
      <c r="I11" s="1109"/>
      <c r="J11" s="1111"/>
      <c r="K11" s="1109"/>
      <c r="L11" s="1113"/>
      <c r="M11" s="755"/>
      <c r="N11" s="755"/>
      <c r="O11" s="770"/>
      <c r="P11" s="755"/>
      <c r="Q11" s="772"/>
      <c r="R11" s="770"/>
      <c r="S11" s="141"/>
      <c r="T11" s="142"/>
      <c r="U11" s="142"/>
      <c r="V11" s="108"/>
    </row>
    <row r="12" spans="3:28" ht="137.25" customHeight="1" thickBot="1" x14ac:dyDescent="0.3">
      <c r="C12" s="1115"/>
      <c r="D12" s="1118"/>
      <c r="E12" s="711"/>
      <c r="F12" s="714"/>
      <c r="G12" s="149" t="s">
        <v>703</v>
      </c>
      <c r="H12" s="172" t="s">
        <v>39</v>
      </c>
      <c r="I12" s="655" t="s">
        <v>720</v>
      </c>
      <c r="J12" s="656" t="s">
        <v>40</v>
      </c>
      <c r="K12" s="655" t="s">
        <v>681</v>
      </c>
      <c r="L12" s="654" t="s">
        <v>805</v>
      </c>
      <c r="M12" s="151">
        <v>0</v>
      </c>
      <c r="N12" s="151">
        <v>0</v>
      </c>
      <c r="O12" s="679">
        <v>0</v>
      </c>
      <c r="P12" s="151">
        <v>2</v>
      </c>
      <c r="Q12" s="151">
        <v>0</v>
      </c>
      <c r="R12" s="50">
        <f t="shared" si="1"/>
        <v>0</v>
      </c>
      <c r="S12" s="141"/>
      <c r="T12" s="142"/>
      <c r="U12" s="142"/>
      <c r="V12" s="108"/>
    </row>
    <row r="13" spans="3:28" ht="63" hidden="1" customHeight="1" x14ac:dyDescent="0.25">
      <c r="C13" s="1115"/>
      <c r="D13" s="1118"/>
      <c r="E13" s="1092">
        <v>103</v>
      </c>
      <c r="F13" s="735" t="s">
        <v>43</v>
      </c>
      <c r="G13" s="735" t="s">
        <v>45</v>
      </c>
      <c r="H13" s="1096"/>
      <c r="I13" s="1099" t="s">
        <v>683</v>
      </c>
      <c r="J13" s="1100"/>
      <c r="K13" s="1100"/>
      <c r="L13" s="1100"/>
      <c r="M13" s="1100"/>
      <c r="N13" s="1100"/>
      <c r="O13" s="1100"/>
      <c r="P13" s="1100"/>
      <c r="Q13" s="1100"/>
      <c r="R13" s="1101"/>
      <c r="S13" s="141"/>
      <c r="T13" s="142"/>
      <c r="U13" s="142"/>
      <c r="V13" s="157"/>
      <c r="X13" s="158"/>
      <c r="Y13" s="158"/>
      <c r="Z13" s="158"/>
      <c r="AA13" s="158"/>
      <c r="AB13" s="158"/>
    </row>
    <row r="14" spans="3:28" ht="69" hidden="1" customHeight="1" thickBot="1" x14ac:dyDescent="0.3">
      <c r="C14" s="1115"/>
      <c r="D14" s="1118"/>
      <c r="E14" s="1093"/>
      <c r="F14" s="1095"/>
      <c r="G14" s="736"/>
      <c r="H14" s="1097"/>
      <c r="I14" s="1102"/>
      <c r="J14" s="1103"/>
      <c r="K14" s="1103"/>
      <c r="L14" s="1103"/>
      <c r="M14" s="1103"/>
      <c r="N14" s="1103"/>
      <c r="O14" s="1103"/>
      <c r="P14" s="1103"/>
      <c r="Q14" s="1103"/>
      <c r="R14" s="1104"/>
      <c r="S14" s="141"/>
      <c r="T14" s="142"/>
      <c r="U14" s="142"/>
      <c r="V14" s="157"/>
      <c r="X14" s="158"/>
      <c r="Y14" s="158"/>
      <c r="Z14" s="158"/>
      <c r="AB14" s="158"/>
    </row>
    <row r="15" spans="3:28" ht="117" hidden="1" customHeight="1" thickBot="1" x14ac:dyDescent="0.3">
      <c r="C15" s="1116"/>
      <c r="D15" s="1118"/>
      <c r="E15" s="1094"/>
      <c r="F15" s="736"/>
      <c r="G15" s="674" t="s">
        <v>287</v>
      </c>
      <c r="H15" s="1098"/>
      <c r="I15" s="1105"/>
      <c r="J15" s="1106"/>
      <c r="K15" s="1106"/>
      <c r="L15" s="1106"/>
      <c r="M15" s="1106"/>
      <c r="N15" s="1106"/>
      <c r="O15" s="1106"/>
      <c r="P15" s="1106"/>
      <c r="Q15" s="1106"/>
      <c r="R15" s="1107"/>
      <c r="S15" s="141"/>
      <c r="T15" s="142"/>
      <c r="U15" s="142"/>
      <c r="V15" s="108"/>
      <c r="AB15" s="158"/>
    </row>
    <row r="16" spans="3:28" ht="114.75" customHeight="1" thickBot="1" x14ac:dyDescent="0.3">
      <c r="C16" s="1083">
        <v>2</v>
      </c>
      <c r="D16" s="1081" t="s">
        <v>52</v>
      </c>
      <c r="E16" s="728">
        <v>201</v>
      </c>
      <c r="F16" s="712" t="s">
        <v>283</v>
      </c>
      <c r="G16" s="149" t="s">
        <v>54</v>
      </c>
      <c r="H16" s="732" t="s">
        <v>98</v>
      </c>
      <c r="I16" s="751" t="s">
        <v>56</v>
      </c>
      <c r="J16" s="718" t="s">
        <v>99</v>
      </c>
      <c r="K16" s="751" t="s">
        <v>351</v>
      </c>
      <c r="L16" s="752" t="s">
        <v>58</v>
      </c>
      <c r="M16" s="776">
        <v>0</v>
      </c>
      <c r="N16" s="776">
        <v>0</v>
      </c>
      <c r="O16" s="1087">
        <v>0</v>
      </c>
      <c r="P16" s="776">
        <v>0</v>
      </c>
      <c r="Q16" s="776">
        <v>0</v>
      </c>
      <c r="R16" s="1087">
        <v>0</v>
      </c>
      <c r="S16" s="141"/>
      <c r="T16" s="142"/>
      <c r="U16" s="147"/>
      <c r="V16" s="108"/>
      <c r="AB16" s="158"/>
    </row>
    <row r="17" spans="3:24" ht="72" customHeight="1" thickBot="1" x14ac:dyDescent="0.3">
      <c r="C17" s="1086"/>
      <c r="D17" s="1085"/>
      <c r="E17" s="729"/>
      <c r="F17" s="714"/>
      <c r="G17" s="666" t="s">
        <v>709</v>
      </c>
      <c r="H17" s="733"/>
      <c r="I17" s="730"/>
      <c r="J17" s="768"/>
      <c r="K17" s="730"/>
      <c r="L17" s="783"/>
      <c r="M17" s="777"/>
      <c r="N17" s="777"/>
      <c r="O17" s="1088"/>
      <c r="P17" s="777"/>
      <c r="Q17" s="777"/>
      <c r="R17" s="1088"/>
      <c r="S17" s="141"/>
      <c r="T17" s="142"/>
      <c r="U17" s="147"/>
      <c r="V17" s="108"/>
    </row>
    <row r="18" spans="3:24" ht="54.75" customHeight="1" thickBot="1" x14ac:dyDescent="0.3">
      <c r="C18" s="1086"/>
      <c r="D18" s="1085"/>
      <c r="E18" s="728">
        <v>202</v>
      </c>
      <c r="F18" s="712" t="s">
        <v>281</v>
      </c>
      <c r="G18" s="666" t="s">
        <v>62</v>
      </c>
      <c r="H18" s="733"/>
      <c r="I18" s="730"/>
      <c r="J18" s="768"/>
      <c r="K18" s="730"/>
      <c r="L18" s="783"/>
      <c r="M18" s="777"/>
      <c r="N18" s="777"/>
      <c r="O18" s="1088"/>
      <c r="P18" s="777"/>
      <c r="Q18" s="777"/>
      <c r="R18" s="1088"/>
      <c r="S18" s="141"/>
      <c r="T18" s="142"/>
      <c r="U18" s="147"/>
      <c r="V18" s="108"/>
    </row>
    <row r="19" spans="3:24" ht="88.5" customHeight="1" thickBot="1" x14ac:dyDescent="0.3">
      <c r="C19" s="1086"/>
      <c r="D19" s="1085"/>
      <c r="E19" s="729"/>
      <c r="F19" s="714"/>
      <c r="G19" s="149" t="s">
        <v>64</v>
      </c>
      <c r="H19" s="733"/>
      <c r="I19" s="730"/>
      <c r="J19" s="768"/>
      <c r="K19" s="730"/>
      <c r="L19" s="783"/>
      <c r="M19" s="777"/>
      <c r="N19" s="777"/>
      <c r="O19" s="1088"/>
      <c r="P19" s="777"/>
      <c r="Q19" s="777"/>
      <c r="R19" s="1088"/>
      <c r="S19" s="141"/>
      <c r="T19" s="142"/>
      <c r="U19" s="168"/>
      <c r="V19" s="108"/>
    </row>
    <row r="20" spans="3:24" ht="66" customHeight="1" thickBot="1" x14ac:dyDescent="0.3">
      <c r="C20" s="1086"/>
      <c r="D20" s="1085"/>
      <c r="E20" s="728">
        <v>203</v>
      </c>
      <c r="F20" s="712" t="s">
        <v>282</v>
      </c>
      <c r="G20" s="149" t="s">
        <v>702</v>
      </c>
      <c r="H20" s="733"/>
      <c r="I20" s="730"/>
      <c r="J20" s="768"/>
      <c r="K20" s="730"/>
      <c r="L20" s="783"/>
      <c r="M20" s="777"/>
      <c r="N20" s="777"/>
      <c r="O20" s="1088"/>
      <c r="P20" s="777"/>
      <c r="Q20" s="777"/>
      <c r="R20" s="1088"/>
      <c r="S20" s="141"/>
      <c r="T20" s="142"/>
      <c r="U20" s="142"/>
      <c r="V20" s="108"/>
    </row>
    <row r="21" spans="3:24" ht="90" customHeight="1" thickBot="1" x14ac:dyDescent="0.3">
      <c r="C21" s="1086"/>
      <c r="D21" s="1085"/>
      <c r="E21" s="775"/>
      <c r="F21" s="713"/>
      <c r="G21" s="149" t="s">
        <v>68</v>
      </c>
      <c r="H21" s="733"/>
      <c r="I21" s="730"/>
      <c r="J21" s="768"/>
      <c r="K21" s="730"/>
      <c r="L21" s="783"/>
      <c r="M21" s="777"/>
      <c r="N21" s="777"/>
      <c r="O21" s="1088"/>
      <c r="P21" s="777"/>
      <c r="Q21" s="777"/>
      <c r="R21" s="1088"/>
      <c r="S21" s="141"/>
      <c r="T21" s="141"/>
      <c r="U21" s="142"/>
      <c r="V21" s="108"/>
    </row>
    <row r="22" spans="3:24" ht="89.25" customHeight="1" thickBot="1" x14ac:dyDescent="0.3">
      <c r="C22" s="1084"/>
      <c r="D22" s="1082"/>
      <c r="E22" s="729"/>
      <c r="F22" s="714"/>
      <c r="G22" s="170" t="s">
        <v>708</v>
      </c>
      <c r="H22" s="734"/>
      <c r="I22" s="731"/>
      <c r="J22" s="719"/>
      <c r="K22" s="731"/>
      <c r="L22" s="753"/>
      <c r="M22" s="778"/>
      <c r="N22" s="778"/>
      <c r="O22" s="1089"/>
      <c r="P22" s="778"/>
      <c r="Q22" s="778"/>
      <c r="R22" s="1089"/>
      <c r="S22" s="141"/>
      <c r="T22" s="141"/>
      <c r="U22" s="141"/>
      <c r="V22" s="108"/>
    </row>
    <row r="23" spans="3:24" ht="144" customHeight="1" thickBot="1" x14ac:dyDescent="0.3">
      <c r="C23" s="680">
        <v>3</v>
      </c>
      <c r="D23" s="681" t="s">
        <v>70</v>
      </c>
      <c r="E23" s="670">
        <v>301</v>
      </c>
      <c r="F23" s="668" t="s">
        <v>71</v>
      </c>
      <c r="G23" s="668" t="s">
        <v>288</v>
      </c>
      <c r="H23" s="172" t="s">
        <v>73</v>
      </c>
      <c r="I23" s="180" t="s">
        <v>74</v>
      </c>
      <c r="J23" s="172" t="s">
        <v>75</v>
      </c>
      <c r="K23" s="180" t="s">
        <v>358</v>
      </c>
      <c r="L23" s="181" t="s">
        <v>76</v>
      </c>
      <c r="M23" s="181">
        <v>0.4</v>
      </c>
      <c r="N23" s="181">
        <v>0</v>
      </c>
      <c r="O23" s="657">
        <f t="shared" si="0"/>
        <v>0</v>
      </c>
      <c r="P23" s="182">
        <v>0.4</v>
      </c>
      <c r="Q23" s="182">
        <v>0</v>
      </c>
      <c r="R23" s="657">
        <f t="shared" si="1"/>
        <v>0</v>
      </c>
      <c r="S23" s="141"/>
      <c r="T23" s="141"/>
      <c r="U23" s="142"/>
      <c r="V23" s="157"/>
    </row>
    <row r="24" spans="3:24" ht="69" customHeight="1" x14ac:dyDescent="0.25">
      <c r="C24" s="1083">
        <v>3</v>
      </c>
      <c r="D24" s="1081" t="s">
        <v>70</v>
      </c>
      <c r="E24" s="709">
        <v>302</v>
      </c>
      <c r="F24" s="712" t="s">
        <v>78</v>
      </c>
      <c r="G24" s="735" t="s">
        <v>707</v>
      </c>
      <c r="H24" s="732" t="s">
        <v>577</v>
      </c>
      <c r="I24" s="1119" t="s">
        <v>684</v>
      </c>
      <c r="J24" s="732" t="s">
        <v>576</v>
      </c>
      <c r="K24" s="1119" t="s">
        <v>685</v>
      </c>
      <c r="L24" s="1121" t="s">
        <v>359</v>
      </c>
      <c r="M24" s="1123">
        <v>0.28000000000000003</v>
      </c>
      <c r="N24" s="1125">
        <v>0.16500000000000001</v>
      </c>
      <c r="O24" s="769">
        <f t="shared" si="0"/>
        <v>0.5892857142857143</v>
      </c>
      <c r="P24" s="1123">
        <v>0.63</v>
      </c>
      <c r="Q24" s="1127">
        <v>0.51500000000000001</v>
      </c>
      <c r="R24" s="769">
        <f t="shared" si="1"/>
        <v>0.81746031746031744</v>
      </c>
      <c r="S24" s="141"/>
      <c r="T24" s="141"/>
      <c r="U24" s="141"/>
      <c r="V24" s="108"/>
    </row>
    <row r="25" spans="3:24" ht="60.75" customHeight="1" thickBot="1" x14ac:dyDescent="0.3">
      <c r="C25" s="1084"/>
      <c r="D25" s="1082"/>
      <c r="E25" s="711"/>
      <c r="F25" s="714"/>
      <c r="G25" s="736"/>
      <c r="H25" s="734"/>
      <c r="I25" s="1120"/>
      <c r="J25" s="734"/>
      <c r="K25" s="1120"/>
      <c r="L25" s="1122"/>
      <c r="M25" s="1124"/>
      <c r="N25" s="1126"/>
      <c r="O25" s="770"/>
      <c r="P25" s="1124"/>
      <c r="Q25" s="1126"/>
      <c r="R25" s="770"/>
      <c r="S25" s="141"/>
      <c r="T25" s="141"/>
      <c r="U25" s="141"/>
      <c r="V25" s="108"/>
    </row>
    <row r="26" spans="3:24" ht="112.5" customHeight="1" thickBot="1" x14ac:dyDescent="0.3">
      <c r="C26" s="1083">
        <v>3</v>
      </c>
      <c r="D26" s="1081" t="s">
        <v>70</v>
      </c>
      <c r="E26" s="709">
        <v>303</v>
      </c>
      <c r="F26" s="712" t="s">
        <v>90</v>
      </c>
      <c r="G26" s="712" t="s">
        <v>289</v>
      </c>
      <c r="H26" s="732" t="s">
        <v>102</v>
      </c>
      <c r="I26" s="751" t="s">
        <v>93</v>
      </c>
      <c r="J26" s="132" t="s">
        <v>103</v>
      </c>
      <c r="K26" s="133" t="s">
        <v>723</v>
      </c>
      <c r="L26" s="134" t="s">
        <v>95</v>
      </c>
      <c r="M26" s="134">
        <v>0.7</v>
      </c>
      <c r="N26" s="186">
        <v>0</v>
      </c>
      <c r="O26" s="50">
        <f t="shared" si="0"/>
        <v>0</v>
      </c>
      <c r="P26" s="134">
        <v>0.7</v>
      </c>
      <c r="Q26" s="186">
        <v>0.58489999999999998</v>
      </c>
      <c r="R26" s="50">
        <f t="shared" si="1"/>
        <v>0.83557142857142863</v>
      </c>
      <c r="S26" s="141"/>
      <c r="T26" s="141"/>
      <c r="U26" s="187"/>
      <c r="V26" s="108"/>
    </row>
    <row r="27" spans="3:24" ht="111" customHeight="1" thickBot="1" x14ac:dyDescent="0.3">
      <c r="C27" s="1086"/>
      <c r="D27" s="1085"/>
      <c r="E27" s="710"/>
      <c r="F27" s="713"/>
      <c r="G27" s="713"/>
      <c r="H27" s="734"/>
      <c r="I27" s="731"/>
      <c r="J27" s="132" t="s">
        <v>558</v>
      </c>
      <c r="K27" s="133" t="s">
        <v>806</v>
      </c>
      <c r="L27" s="134" t="s">
        <v>95</v>
      </c>
      <c r="M27" s="134">
        <v>1</v>
      </c>
      <c r="N27" s="186">
        <v>0</v>
      </c>
      <c r="O27" s="50">
        <f t="shared" si="0"/>
        <v>0</v>
      </c>
      <c r="P27" s="134">
        <v>1</v>
      </c>
      <c r="Q27" s="186">
        <v>0.79279999999999995</v>
      </c>
      <c r="R27" s="50">
        <f t="shared" si="1"/>
        <v>0.79279999999999995</v>
      </c>
      <c r="S27" s="141"/>
      <c r="T27" s="141"/>
      <c r="U27" s="142"/>
      <c r="V27" s="658"/>
      <c r="X27" s="659"/>
    </row>
    <row r="28" spans="3:24" ht="128.25" customHeight="1" thickBot="1" x14ac:dyDescent="0.3">
      <c r="C28" s="1086"/>
      <c r="D28" s="1085"/>
      <c r="E28" s="710"/>
      <c r="F28" s="713"/>
      <c r="G28" s="713"/>
      <c r="H28" s="188" t="s">
        <v>146</v>
      </c>
      <c r="I28" s="133" t="s">
        <v>726</v>
      </c>
      <c r="J28" s="132" t="s">
        <v>148</v>
      </c>
      <c r="K28" s="133" t="s">
        <v>727</v>
      </c>
      <c r="L28" s="134" t="s">
        <v>101</v>
      </c>
      <c r="M28" s="151">
        <v>1</v>
      </c>
      <c r="N28" s="151">
        <v>0</v>
      </c>
      <c r="O28" s="50">
        <f t="shared" si="0"/>
        <v>0</v>
      </c>
      <c r="P28" s="151">
        <v>1</v>
      </c>
      <c r="Q28" s="151">
        <v>0</v>
      </c>
      <c r="R28" s="50">
        <f t="shared" si="1"/>
        <v>0</v>
      </c>
      <c r="S28" s="141"/>
      <c r="T28" s="141"/>
      <c r="U28" s="142"/>
      <c r="V28" s="108"/>
    </row>
    <row r="29" spans="3:24" ht="177" customHeight="1" thickBot="1" x14ac:dyDescent="0.3">
      <c r="C29" s="1086"/>
      <c r="D29" s="1085"/>
      <c r="E29" s="710"/>
      <c r="F29" s="713"/>
      <c r="G29" s="713"/>
      <c r="H29" s="673" t="s">
        <v>125</v>
      </c>
      <c r="I29" s="671" t="s">
        <v>728</v>
      </c>
      <c r="J29" s="132" t="s">
        <v>127</v>
      </c>
      <c r="K29" s="133" t="s">
        <v>104</v>
      </c>
      <c r="L29" s="134" t="s">
        <v>105</v>
      </c>
      <c r="M29" s="151">
        <v>8</v>
      </c>
      <c r="N29" s="151">
        <v>0</v>
      </c>
      <c r="O29" s="50">
        <f t="shared" si="0"/>
        <v>0</v>
      </c>
      <c r="P29" s="151">
        <v>20</v>
      </c>
      <c r="Q29" s="151">
        <v>13</v>
      </c>
      <c r="R29" s="51">
        <f t="shared" si="1"/>
        <v>0.65</v>
      </c>
      <c r="S29" s="141"/>
      <c r="T29" s="141"/>
      <c r="U29" s="142"/>
      <c r="V29" s="108"/>
    </row>
    <row r="30" spans="3:24" ht="144.75" customHeight="1" thickBot="1" x14ac:dyDescent="0.3">
      <c r="C30" s="1086"/>
      <c r="D30" s="1085"/>
      <c r="E30" s="709">
        <v>304</v>
      </c>
      <c r="F30" s="712" t="s">
        <v>110</v>
      </c>
      <c r="G30" s="712" t="s">
        <v>290</v>
      </c>
      <c r="H30" s="172" t="s">
        <v>112</v>
      </c>
      <c r="I30" s="133" t="s">
        <v>113</v>
      </c>
      <c r="J30" s="132" t="s">
        <v>114</v>
      </c>
      <c r="K30" s="133" t="s">
        <v>721</v>
      </c>
      <c r="L30" s="134" t="s">
        <v>116</v>
      </c>
      <c r="M30" s="151">
        <v>0</v>
      </c>
      <c r="N30" s="151">
        <v>0</v>
      </c>
      <c r="O30" s="679">
        <v>0</v>
      </c>
      <c r="P30" s="151">
        <v>0</v>
      </c>
      <c r="Q30" s="151">
        <v>0</v>
      </c>
      <c r="R30" s="682">
        <v>0</v>
      </c>
      <c r="S30" s="141"/>
      <c r="T30" s="141"/>
      <c r="U30" s="142"/>
      <c r="V30" s="108"/>
    </row>
    <row r="31" spans="3:24" ht="102.75" customHeight="1" thickBot="1" x14ac:dyDescent="0.3">
      <c r="C31" s="1086"/>
      <c r="D31" s="1085"/>
      <c r="E31" s="710"/>
      <c r="F31" s="713"/>
      <c r="G31" s="713"/>
      <c r="H31" s="732" t="s">
        <v>117</v>
      </c>
      <c r="I31" s="751" t="s">
        <v>118</v>
      </c>
      <c r="J31" s="132" t="s">
        <v>119</v>
      </c>
      <c r="K31" s="133" t="s">
        <v>347</v>
      </c>
      <c r="L31" s="134" t="s">
        <v>348</v>
      </c>
      <c r="M31" s="151">
        <v>0</v>
      </c>
      <c r="N31" s="151">
        <v>0</v>
      </c>
      <c r="O31" s="679">
        <v>0</v>
      </c>
      <c r="P31" s="151">
        <v>0</v>
      </c>
      <c r="Q31" s="151">
        <v>0</v>
      </c>
      <c r="R31" s="679">
        <v>0</v>
      </c>
      <c r="S31" s="141"/>
      <c r="T31" s="141"/>
      <c r="U31" s="142"/>
      <c r="V31" s="108"/>
    </row>
    <row r="32" spans="3:24" ht="106.5" customHeight="1" thickBot="1" x14ac:dyDescent="0.3">
      <c r="C32" s="1086"/>
      <c r="D32" s="1085"/>
      <c r="E32" s="711"/>
      <c r="F32" s="714"/>
      <c r="G32" s="714"/>
      <c r="H32" s="734"/>
      <c r="I32" s="731"/>
      <c r="J32" s="132" t="s">
        <v>120</v>
      </c>
      <c r="K32" s="133" t="s">
        <v>121</v>
      </c>
      <c r="L32" s="134" t="s">
        <v>349</v>
      </c>
      <c r="M32" s="151">
        <v>0</v>
      </c>
      <c r="N32" s="151">
        <v>0</v>
      </c>
      <c r="O32" s="679">
        <v>0</v>
      </c>
      <c r="P32" s="151">
        <v>0</v>
      </c>
      <c r="Q32" s="151">
        <v>0</v>
      </c>
      <c r="R32" s="679">
        <v>0</v>
      </c>
      <c r="S32" s="141"/>
      <c r="T32" s="141"/>
      <c r="U32" s="142"/>
      <c r="V32" s="108"/>
    </row>
    <row r="33" spans="3:24" ht="102.75" customHeight="1" thickBot="1" x14ac:dyDescent="0.3">
      <c r="C33" s="1086"/>
      <c r="D33" s="1085"/>
      <c r="E33" s="710">
        <v>305</v>
      </c>
      <c r="F33" s="713" t="s">
        <v>122</v>
      </c>
      <c r="G33" s="667" t="s">
        <v>124</v>
      </c>
      <c r="H33" s="733" t="s">
        <v>261</v>
      </c>
      <c r="I33" s="730" t="s">
        <v>729</v>
      </c>
      <c r="J33" s="676" t="s">
        <v>263</v>
      </c>
      <c r="K33" s="671" t="s">
        <v>356</v>
      </c>
      <c r="L33" s="675" t="s">
        <v>128</v>
      </c>
      <c r="M33" s="677">
        <v>2</v>
      </c>
      <c r="N33" s="677">
        <v>0</v>
      </c>
      <c r="O33" s="354">
        <f>+N33/M33</f>
        <v>0</v>
      </c>
      <c r="P33" s="677">
        <v>3</v>
      </c>
      <c r="Q33" s="677">
        <v>1</v>
      </c>
      <c r="R33" s="354">
        <f t="shared" si="1"/>
        <v>0.33333333333333331</v>
      </c>
      <c r="S33" s="141"/>
      <c r="T33" s="141"/>
      <c r="U33" s="142"/>
      <c r="V33" s="108"/>
    </row>
    <row r="34" spans="3:24" ht="101.25" customHeight="1" thickBot="1" x14ac:dyDescent="0.3">
      <c r="C34" s="1086"/>
      <c r="D34" s="1085"/>
      <c r="E34" s="710"/>
      <c r="F34" s="713"/>
      <c r="G34" s="666" t="s">
        <v>130</v>
      </c>
      <c r="H34" s="733"/>
      <c r="I34" s="730"/>
      <c r="J34" s="132" t="s">
        <v>733</v>
      </c>
      <c r="K34" s="133" t="s">
        <v>132</v>
      </c>
      <c r="L34" s="134" t="s">
        <v>719</v>
      </c>
      <c r="M34" s="151">
        <v>6</v>
      </c>
      <c r="N34" s="151">
        <v>0</v>
      </c>
      <c r="O34" s="50">
        <f t="shared" si="0"/>
        <v>0</v>
      </c>
      <c r="P34" s="151">
        <v>15</v>
      </c>
      <c r="Q34" s="151">
        <v>2</v>
      </c>
      <c r="R34" s="50">
        <f t="shared" si="1"/>
        <v>0.13333333333333333</v>
      </c>
      <c r="S34" s="141"/>
      <c r="T34" s="141"/>
      <c r="U34" s="142"/>
      <c r="V34" s="108"/>
    </row>
    <row r="35" spans="3:24" ht="99.75" customHeight="1" x14ac:dyDescent="0.25">
      <c r="C35" s="1086"/>
      <c r="D35" s="1085"/>
      <c r="E35" s="710"/>
      <c r="F35" s="713"/>
      <c r="G35" s="712" t="s">
        <v>135</v>
      </c>
      <c r="H35" s="733"/>
      <c r="I35" s="730"/>
      <c r="J35" s="718" t="s">
        <v>725</v>
      </c>
      <c r="K35" s="751" t="s">
        <v>137</v>
      </c>
      <c r="L35" s="752" t="s">
        <v>137</v>
      </c>
      <c r="M35" s="776">
        <v>50</v>
      </c>
      <c r="N35" s="776">
        <v>0</v>
      </c>
      <c r="O35" s="769">
        <f>+N35/M35</f>
        <v>0</v>
      </c>
      <c r="P35" s="776">
        <v>132</v>
      </c>
      <c r="Q35" s="776">
        <v>40</v>
      </c>
      <c r="R35" s="769">
        <f t="shared" si="1"/>
        <v>0.30303030303030304</v>
      </c>
      <c r="S35" s="141"/>
      <c r="T35" s="141"/>
      <c r="U35" s="142"/>
      <c r="V35" s="108"/>
    </row>
    <row r="36" spans="3:24" ht="15.75" customHeight="1" thickBot="1" x14ac:dyDescent="0.3">
      <c r="C36" s="1086"/>
      <c r="D36" s="1085"/>
      <c r="E36" s="710"/>
      <c r="F36" s="713"/>
      <c r="G36" s="714"/>
      <c r="H36" s="734"/>
      <c r="I36" s="731"/>
      <c r="J36" s="719"/>
      <c r="K36" s="731"/>
      <c r="L36" s="753"/>
      <c r="M36" s="778"/>
      <c r="N36" s="778"/>
      <c r="O36" s="770"/>
      <c r="P36" s="778"/>
      <c r="Q36" s="778"/>
      <c r="R36" s="770"/>
      <c r="S36" s="141"/>
      <c r="T36" s="141"/>
      <c r="U36" s="142"/>
      <c r="V36" s="108"/>
    </row>
    <row r="37" spans="3:24" ht="123" customHeight="1" thickBot="1" x14ac:dyDescent="0.3">
      <c r="C37" s="1084"/>
      <c r="D37" s="1082"/>
      <c r="E37" s="711"/>
      <c r="F37" s="714"/>
      <c r="G37" s="149" t="s">
        <v>139</v>
      </c>
      <c r="H37" s="673" t="s">
        <v>198</v>
      </c>
      <c r="I37" s="671" t="s">
        <v>730</v>
      </c>
      <c r="J37" s="669" t="s">
        <v>200</v>
      </c>
      <c r="K37" s="133" t="s">
        <v>724</v>
      </c>
      <c r="L37" s="134" t="s">
        <v>143</v>
      </c>
      <c r="M37" s="151">
        <v>0</v>
      </c>
      <c r="N37" s="151">
        <v>0</v>
      </c>
      <c r="O37" s="679">
        <v>0</v>
      </c>
      <c r="P37" s="151">
        <v>0</v>
      </c>
      <c r="Q37" s="151">
        <v>0</v>
      </c>
      <c r="R37" s="679">
        <v>0</v>
      </c>
      <c r="S37" s="141"/>
      <c r="T37" s="141"/>
      <c r="U37" s="142"/>
      <c r="V37" s="108"/>
    </row>
    <row r="38" spans="3:24" ht="62.25" customHeight="1" thickBot="1" x14ac:dyDescent="0.3">
      <c r="C38" s="1083">
        <v>3</v>
      </c>
      <c r="D38" s="1081" t="s">
        <v>70</v>
      </c>
      <c r="E38" s="710">
        <v>306</v>
      </c>
      <c r="F38" s="713" t="s">
        <v>284</v>
      </c>
      <c r="G38" s="666" t="s">
        <v>710</v>
      </c>
      <c r="H38" s="732" t="s">
        <v>140</v>
      </c>
      <c r="I38" s="751" t="s">
        <v>147</v>
      </c>
      <c r="J38" s="718" t="s">
        <v>142</v>
      </c>
      <c r="K38" s="751" t="s">
        <v>149</v>
      </c>
      <c r="L38" s="752" t="s">
        <v>150</v>
      </c>
      <c r="M38" s="776">
        <v>0</v>
      </c>
      <c r="N38" s="776">
        <v>0</v>
      </c>
      <c r="O38" s="1128">
        <v>0</v>
      </c>
      <c r="P38" s="776">
        <v>0</v>
      </c>
      <c r="Q38" s="776">
        <v>0</v>
      </c>
      <c r="R38" s="1128">
        <v>0</v>
      </c>
      <c r="S38" s="141"/>
      <c r="T38" s="141"/>
      <c r="U38" s="142"/>
      <c r="V38" s="108"/>
    </row>
    <row r="39" spans="3:24" ht="74.25" customHeight="1" thickBot="1" x14ac:dyDescent="0.3">
      <c r="C39" s="1086"/>
      <c r="D39" s="1085"/>
      <c r="E39" s="710"/>
      <c r="F39" s="713"/>
      <c r="G39" s="149" t="s">
        <v>711</v>
      </c>
      <c r="H39" s="733"/>
      <c r="I39" s="730"/>
      <c r="J39" s="768"/>
      <c r="K39" s="730"/>
      <c r="L39" s="783"/>
      <c r="M39" s="777"/>
      <c r="N39" s="777"/>
      <c r="O39" s="1129"/>
      <c r="P39" s="777"/>
      <c r="Q39" s="777"/>
      <c r="R39" s="1129"/>
      <c r="S39" s="141"/>
      <c r="T39" s="141"/>
      <c r="U39" s="142"/>
      <c r="V39" s="108"/>
    </row>
    <row r="40" spans="3:24" ht="69.75" customHeight="1" thickBot="1" x14ac:dyDescent="0.3">
      <c r="C40" s="1086"/>
      <c r="D40" s="1085"/>
      <c r="E40" s="711"/>
      <c r="F40" s="714"/>
      <c r="G40" s="668" t="s">
        <v>154</v>
      </c>
      <c r="H40" s="734"/>
      <c r="I40" s="731"/>
      <c r="J40" s="719"/>
      <c r="K40" s="731"/>
      <c r="L40" s="753"/>
      <c r="M40" s="778"/>
      <c r="N40" s="778"/>
      <c r="O40" s="1130"/>
      <c r="P40" s="778"/>
      <c r="Q40" s="778"/>
      <c r="R40" s="1130"/>
      <c r="S40" s="141"/>
      <c r="T40" s="141"/>
      <c r="U40" s="142"/>
      <c r="V40" s="108"/>
    </row>
    <row r="41" spans="3:24" ht="153.75" customHeight="1" thickBot="1" x14ac:dyDescent="0.3">
      <c r="C41" s="1086"/>
      <c r="D41" s="1085"/>
      <c r="E41" s="709">
        <v>307</v>
      </c>
      <c r="F41" s="712" t="s">
        <v>285</v>
      </c>
      <c r="G41" s="198" t="s">
        <v>156</v>
      </c>
      <c r="H41" s="172" t="s">
        <v>92</v>
      </c>
      <c r="I41" s="133" t="s">
        <v>731</v>
      </c>
      <c r="J41" s="172" t="s">
        <v>94</v>
      </c>
      <c r="K41" s="133" t="s">
        <v>807</v>
      </c>
      <c r="L41" s="134" t="s">
        <v>163</v>
      </c>
      <c r="M41" s="218">
        <v>0.1462</v>
      </c>
      <c r="N41" s="200">
        <v>0</v>
      </c>
      <c r="O41" s="105">
        <f t="shared" si="0"/>
        <v>0</v>
      </c>
      <c r="P41" s="201">
        <v>0.62619999999999998</v>
      </c>
      <c r="Q41" s="218">
        <v>0.24</v>
      </c>
      <c r="R41" s="50">
        <f t="shared" si="1"/>
        <v>0.38326413286489941</v>
      </c>
      <c r="S41" s="141"/>
      <c r="T41" s="141"/>
      <c r="U41" s="142"/>
      <c r="V41" s="108"/>
    </row>
    <row r="42" spans="3:24" ht="122.25" customHeight="1" thickBot="1" x14ac:dyDescent="0.3">
      <c r="C42" s="1086"/>
      <c r="D42" s="1085"/>
      <c r="E42" s="710"/>
      <c r="F42" s="713"/>
      <c r="G42" s="712" t="s">
        <v>291</v>
      </c>
      <c r="H42" s="673" t="s">
        <v>55</v>
      </c>
      <c r="I42" s="671" t="s">
        <v>344</v>
      </c>
      <c r="J42" s="132" t="s">
        <v>57</v>
      </c>
      <c r="K42" s="133" t="s">
        <v>722</v>
      </c>
      <c r="L42" s="134" t="s">
        <v>159</v>
      </c>
      <c r="M42" s="151">
        <v>0</v>
      </c>
      <c r="N42" s="151">
        <v>0</v>
      </c>
      <c r="O42" s="679">
        <v>0</v>
      </c>
      <c r="P42" s="203">
        <v>1</v>
      </c>
      <c r="Q42" s="203">
        <v>1</v>
      </c>
      <c r="R42" s="50">
        <v>1</v>
      </c>
      <c r="S42" s="141"/>
      <c r="T42" s="141"/>
      <c r="U42" s="142"/>
      <c r="V42" s="108"/>
    </row>
    <row r="43" spans="3:24" ht="93" customHeight="1" thickBot="1" x14ac:dyDescent="0.3">
      <c r="C43" s="1086"/>
      <c r="D43" s="1085"/>
      <c r="E43" s="710"/>
      <c r="F43" s="713"/>
      <c r="G43" s="713"/>
      <c r="H43" s="732" t="s">
        <v>166</v>
      </c>
      <c r="I43" s="751" t="s">
        <v>167</v>
      </c>
      <c r="J43" s="132" t="s">
        <v>168</v>
      </c>
      <c r="K43" s="133" t="s">
        <v>350</v>
      </c>
      <c r="L43" s="134" t="s">
        <v>169</v>
      </c>
      <c r="M43" s="151">
        <v>0</v>
      </c>
      <c r="N43" s="151">
        <v>0</v>
      </c>
      <c r="O43" s="679">
        <v>0</v>
      </c>
      <c r="P43" s="151">
        <v>1</v>
      </c>
      <c r="Q43" s="151">
        <v>1</v>
      </c>
      <c r="R43" s="50">
        <f t="shared" si="1"/>
        <v>1</v>
      </c>
      <c r="S43" s="141"/>
      <c r="T43" s="141"/>
      <c r="U43" s="142"/>
      <c r="V43" s="108"/>
    </row>
    <row r="44" spans="3:24" ht="102.75" customHeight="1" thickBot="1" x14ac:dyDescent="0.3">
      <c r="C44" s="1086"/>
      <c r="D44" s="1085"/>
      <c r="E44" s="711"/>
      <c r="F44" s="714"/>
      <c r="G44" s="714"/>
      <c r="H44" s="734"/>
      <c r="I44" s="731"/>
      <c r="J44" s="132" t="s">
        <v>170</v>
      </c>
      <c r="K44" s="133" t="s">
        <v>171</v>
      </c>
      <c r="L44" s="134" t="s">
        <v>169</v>
      </c>
      <c r="M44" s="151">
        <v>0</v>
      </c>
      <c r="N44" s="151">
        <v>0</v>
      </c>
      <c r="O44" s="679">
        <v>0</v>
      </c>
      <c r="P44" s="151">
        <v>1</v>
      </c>
      <c r="Q44" s="151">
        <v>3</v>
      </c>
      <c r="R44" s="50">
        <v>1</v>
      </c>
      <c r="S44" s="141"/>
      <c r="T44" s="141"/>
      <c r="U44" s="142"/>
      <c r="V44" s="108"/>
    </row>
    <row r="45" spans="3:24" ht="175.5" customHeight="1" thickBot="1" x14ac:dyDescent="0.3">
      <c r="C45" s="1086"/>
      <c r="D45" s="1085"/>
      <c r="E45" s="709">
        <v>308</v>
      </c>
      <c r="F45" s="712" t="s">
        <v>172</v>
      </c>
      <c r="G45" s="149" t="s">
        <v>732</v>
      </c>
      <c r="H45" s="732" t="s">
        <v>582</v>
      </c>
      <c r="I45" s="751" t="s">
        <v>312</v>
      </c>
      <c r="J45" s="132" t="s">
        <v>566</v>
      </c>
      <c r="K45" s="133" t="s">
        <v>692</v>
      </c>
      <c r="L45" s="134" t="s">
        <v>314</v>
      </c>
      <c r="M45" s="178">
        <v>0.17780000000000001</v>
      </c>
      <c r="N45" s="178">
        <v>0</v>
      </c>
      <c r="O45" s="50">
        <f t="shared" si="0"/>
        <v>0</v>
      </c>
      <c r="P45" s="218">
        <v>0.4667</v>
      </c>
      <c r="Q45" s="218">
        <v>0</v>
      </c>
      <c r="R45" s="50">
        <f t="shared" si="1"/>
        <v>0</v>
      </c>
      <c r="S45" s="141"/>
      <c r="T45" s="141"/>
      <c r="U45" s="147"/>
      <c r="V45" s="108"/>
      <c r="W45" s="158"/>
      <c r="X45" s="158"/>
    </row>
    <row r="46" spans="3:24" ht="124.5" customHeight="1" thickBot="1" x14ac:dyDescent="0.3">
      <c r="C46" s="1086"/>
      <c r="D46" s="1085"/>
      <c r="E46" s="710"/>
      <c r="F46" s="713"/>
      <c r="G46" s="713" t="s">
        <v>178</v>
      </c>
      <c r="H46" s="733"/>
      <c r="I46" s="730"/>
      <c r="J46" s="132" t="s">
        <v>565</v>
      </c>
      <c r="K46" s="133" t="s">
        <v>181</v>
      </c>
      <c r="L46" s="134" t="s">
        <v>693</v>
      </c>
      <c r="M46" s="134">
        <v>1</v>
      </c>
      <c r="N46" s="178">
        <v>1</v>
      </c>
      <c r="O46" s="50">
        <f t="shared" si="0"/>
        <v>1</v>
      </c>
      <c r="P46" s="134">
        <v>1</v>
      </c>
      <c r="Q46" s="134">
        <v>1</v>
      </c>
      <c r="R46" s="50">
        <f t="shared" si="1"/>
        <v>1</v>
      </c>
      <c r="S46" s="141"/>
      <c r="T46" s="141"/>
      <c r="U46" s="142"/>
      <c r="V46" s="108"/>
    </row>
    <row r="47" spans="3:24" ht="141.75" customHeight="1" thickBot="1" x14ac:dyDescent="0.3">
      <c r="C47" s="1086"/>
      <c r="D47" s="1085"/>
      <c r="E47" s="710"/>
      <c r="F47" s="713"/>
      <c r="G47" s="713"/>
      <c r="H47" s="733"/>
      <c r="I47" s="731"/>
      <c r="J47" s="132" t="s">
        <v>567</v>
      </c>
      <c r="K47" s="671" t="s">
        <v>714</v>
      </c>
      <c r="L47" s="675" t="s">
        <v>694</v>
      </c>
      <c r="M47" s="675">
        <v>1</v>
      </c>
      <c r="N47" s="675">
        <v>1</v>
      </c>
      <c r="O47" s="50">
        <f>+N47/M47</f>
        <v>1</v>
      </c>
      <c r="P47" s="675">
        <v>1</v>
      </c>
      <c r="Q47" s="675">
        <v>1</v>
      </c>
      <c r="R47" s="50">
        <f>+Q47/P47</f>
        <v>1</v>
      </c>
      <c r="S47" s="141"/>
      <c r="T47" s="141"/>
      <c r="U47" s="142"/>
      <c r="V47" s="108"/>
    </row>
    <row r="48" spans="3:24" ht="118.5" customHeight="1" thickBot="1" x14ac:dyDescent="0.3">
      <c r="C48" s="1086"/>
      <c r="D48" s="1085"/>
      <c r="E48" s="710"/>
      <c r="F48" s="713"/>
      <c r="G48" s="713"/>
      <c r="H48" s="172" t="s">
        <v>570</v>
      </c>
      <c r="I48" s="671" t="s">
        <v>712</v>
      </c>
      <c r="J48" s="669" t="s">
        <v>571</v>
      </c>
      <c r="K48" s="671" t="s">
        <v>715</v>
      </c>
      <c r="L48" s="675" t="s">
        <v>163</v>
      </c>
      <c r="M48" s="212">
        <v>0.1</v>
      </c>
      <c r="N48" s="212">
        <v>0</v>
      </c>
      <c r="O48" s="50">
        <f>+N48/M48</f>
        <v>0</v>
      </c>
      <c r="P48" s="213">
        <v>0.4</v>
      </c>
      <c r="Q48" s="213">
        <v>0</v>
      </c>
      <c r="R48" s="50">
        <f t="shared" si="1"/>
        <v>0</v>
      </c>
      <c r="S48" s="141"/>
      <c r="T48" s="141"/>
      <c r="U48" s="142"/>
      <c r="V48" s="108"/>
    </row>
    <row r="49" spans="3:22" ht="143.25" customHeight="1" thickBot="1" x14ac:dyDescent="0.3">
      <c r="C49" s="1086"/>
      <c r="D49" s="1085"/>
      <c r="E49" s="710"/>
      <c r="F49" s="713"/>
      <c r="G49" s="713"/>
      <c r="H49" s="172" t="s">
        <v>572</v>
      </c>
      <c r="I49" s="133" t="s">
        <v>713</v>
      </c>
      <c r="J49" s="132" t="s">
        <v>573</v>
      </c>
      <c r="K49" s="133" t="s">
        <v>716</v>
      </c>
      <c r="L49" s="134" t="s">
        <v>695</v>
      </c>
      <c r="M49" s="203">
        <v>0</v>
      </c>
      <c r="N49" s="203">
        <v>0</v>
      </c>
      <c r="O49" s="679">
        <v>0</v>
      </c>
      <c r="P49" s="203">
        <v>0</v>
      </c>
      <c r="Q49" s="203">
        <v>0</v>
      </c>
      <c r="R49" s="679">
        <v>0</v>
      </c>
      <c r="S49" s="141"/>
      <c r="T49" s="141"/>
      <c r="U49" s="142"/>
      <c r="V49" s="108"/>
    </row>
    <row r="50" spans="3:22" ht="118.5" customHeight="1" thickBot="1" x14ac:dyDescent="0.3">
      <c r="C50" s="1084"/>
      <c r="D50" s="1082"/>
      <c r="E50" s="711"/>
      <c r="F50" s="714"/>
      <c r="G50" s="714"/>
      <c r="H50" s="172" t="s">
        <v>574</v>
      </c>
      <c r="I50" s="133" t="s">
        <v>718</v>
      </c>
      <c r="J50" s="132" t="s">
        <v>575</v>
      </c>
      <c r="K50" s="133" t="s">
        <v>701</v>
      </c>
      <c r="L50" s="134" t="s">
        <v>696</v>
      </c>
      <c r="M50" s="186">
        <v>0.27500000000000002</v>
      </c>
      <c r="N50" s="134">
        <v>0</v>
      </c>
      <c r="O50" s="357">
        <f>+N50/M50</f>
        <v>0</v>
      </c>
      <c r="P50" s="186">
        <v>0.32500000000000001</v>
      </c>
      <c r="Q50" s="186">
        <v>0</v>
      </c>
      <c r="R50" s="357">
        <f t="shared" si="1"/>
        <v>0</v>
      </c>
      <c r="S50" s="141"/>
      <c r="T50" s="141"/>
      <c r="U50" s="142"/>
      <c r="V50" s="108"/>
    </row>
    <row r="51" spans="3:22" ht="174.75" customHeight="1" thickBot="1" x14ac:dyDescent="0.3">
      <c r="C51" s="1083"/>
      <c r="D51" s="1081" t="s">
        <v>70</v>
      </c>
      <c r="E51" s="709">
        <v>309</v>
      </c>
      <c r="F51" s="712" t="s">
        <v>192</v>
      </c>
      <c r="G51" s="712" t="s">
        <v>194</v>
      </c>
      <c r="H51" s="172" t="s">
        <v>208</v>
      </c>
      <c r="I51" s="133" t="s">
        <v>199</v>
      </c>
      <c r="J51" s="132" t="s">
        <v>210</v>
      </c>
      <c r="K51" s="133" t="s">
        <v>706</v>
      </c>
      <c r="L51" s="134" t="s">
        <v>202</v>
      </c>
      <c r="M51" s="151">
        <v>0</v>
      </c>
      <c r="N51" s="151">
        <v>0</v>
      </c>
      <c r="O51" s="679">
        <v>0</v>
      </c>
      <c r="P51" s="151">
        <v>1</v>
      </c>
      <c r="Q51" s="151">
        <v>1</v>
      </c>
      <c r="R51" s="50">
        <f t="shared" si="1"/>
        <v>1</v>
      </c>
      <c r="S51" s="215"/>
      <c r="T51" s="215"/>
      <c r="U51" s="216"/>
      <c r="V51" s="108"/>
    </row>
    <row r="52" spans="3:22" ht="124.5" customHeight="1" thickBot="1" x14ac:dyDescent="0.3">
      <c r="C52" s="1086"/>
      <c r="D52" s="1085"/>
      <c r="E52" s="710"/>
      <c r="F52" s="713"/>
      <c r="G52" s="713"/>
      <c r="H52" s="172" t="s">
        <v>561</v>
      </c>
      <c r="I52" s="133" t="s">
        <v>705</v>
      </c>
      <c r="J52" s="132" t="s">
        <v>562</v>
      </c>
      <c r="K52" s="133" t="s">
        <v>206</v>
      </c>
      <c r="L52" s="134" t="s">
        <v>207</v>
      </c>
      <c r="M52" s="151">
        <v>2</v>
      </c>
      <c r="N52" s="151">
        <v>0</v>
      </c>
      <c r="O52" s="50">
        <f t="shared" si="0"/>
        <v>0</v>
      </c>
      <c r="P52" s="151">
        <v>6</v>
      </c>
      <c r="Q52" s="151">
        <v>0</v>
      </c>
      <c r="R52" s="50">
        <f t="shared" si="1"/>
        <v>0</v>
      </c>
      <c r="S52" s="215"/>
      <c r="T52" s="215"/>
      <c r="U52" s="216"/>
      <c r="V52" s="108"/>
    </row>
    <row r="53" spans="3:22" ht="137.25" customHeight="1" thickBot="1" x14ac:dyDescent="0.3">
      <c r="C53" s="1086"/>
      <c r="D53" s="1085"/>
      <c r="E53" s="710"/>
      <c r="F53" s="713"/>
      <c r="G53" s="713"/>
      <c r="H53" s="172" t="s">
        <v>563</v>
      </c>
      <c r="I53" s="133" t="s">
        <v>209</v>
      </c>
      <c r="J53" s="132" t="s">
        <v>564</v>
      </c>
      <c r="K53" s="133" t="s">
        <v>717</v>
      </c>
      <c r="L53" s="134" t="s">
        <v>194</v>
      </c>
      <c r="M53" s="151">
        <v>0</v>
      </c>
      <c r="N53" s="151">
        <v>0</v>
      </c>
      <c r="O53" s="679">
        <v>0</v>
      </c>
      <c r="P53" s="151">
        <v>0</v>
      </c>
      <c r="Q53" s="151">
        <v>0</v>
      </c>
      <c r="R53" s="679">
        <v>0</v>
      </c>
      <c r="S53" s="215"/>
      <c r="T53" s="215"/>
      <c r="U53" s="216"/>
      <c r="V53" s="108"/>
    </row>
    <row r="54" spans="3:22" ht="139.5" customHeight="1" thickBot="1" x14ac:dyDescent="0.3">
      <c r="C54" s="1086"/>
      <c r="D54" s="1085"/>
      <c r="E54" s="710"/>
      <c r="F54" s="713"/>
      <c r="G54" s="713"/>
      <c r="H54" s="732" t="s">
        <v>211</v>
      </c>
      <c r="I54" s="751" t="s">
        <v>212</v>
      </c>
      <c r="J54" s="132" t="s">
        <v>213</v>
      </c>
      <c r="K54" s="133" t="s">
        <v>217</v>
      </c>
      <c r="L54" s="134" t="s">
        <v>218</v>
      </c>
      <c r="M54" s="151">
        <v>10</v>
      </c>
      <c r="N54" s="660">
        <v>9</v>
      </c>
      <c r="O54" s="50">
        <f>+M54/N54</f>
        <v>1.1111111111111112</v>
      </c>
      <c r="P54" s="151">
        <v>10</v>
      </c>
      <c r="Q54" s="660">
        <v>10.199999999999999</v>
      </c>
      <c r="R54" s="50">
        <f>+P54/Q54</f>
        <v>0.98039215686274517</v>
      </c>
      <c r="S54" s="215"/>
      <c r="T54" s="215"/>
      <c r="U54" s="216"/>
      <c r="V54" s="108"/>
    </row>
    <row r="55" spans="3:22" ht="124.5" customHeight="1" thickBot="1" x14ac:dyDescent="0.3">
      <c r="C55" s="1086"/>
      <c r="D55" s="1085"/>
      <c r="E55" s="710"/>
      <c r="F55" s="713"/>
      <c r="G55" s="713"/>
      <c r="H55" s="734"/>
      <c r="I55" s="731"/>
      <c r="J55" s="132" t="s">
        <v>216</v>
      </c>
      <c r="K55" s="133" t="s">
        <v>221</v>
      </c>
      <c r="L55" s="134" t="s">
        <v>222</v>
      </c>
      <c r="M55" s="134">
        <v>0</v>
      </c>
      <c r="N55" s="134">
        <v>0</v>
      </c>
      <c r="O55" s="679">
        <v>0</v>
      </c>
      <c r="P55" s="134">
        <v>1</v>
      </c>
      <c r="Q55" s="218">
        <v>1</v>
      </c>
      <c r="R55" s="50">
        <f t="shared" si="1"/>
        <v>1</v>
      </c>
      <c r="S55" s="215"/>
      <c r="T55" s="215"/>
      <c r="U55" s="216"/>
      <c r="V55" s="108"/>
    </row>
    <row r="56" spans="3:22" ht="128.25" customHeight="1" thickBot="1" x14ac:dyDescent="0.3">
      <c r="C56" s="1086"/>
      <c r="D56" s="1085"/>
      <c r="E56" s="710"/>
      <c r="F56" s="713"/>
      <c r="G56" s="713"/>
      <c r="H56" s="172" t="s">
        <v>224</v>
      </c>
      <c r="I56" s="133" t="s">
        <v>225</v>
      </c>
      <c r="J56" s="132" t="s">
        <v>226</v>
      </c>
      <c r="K56" s="133" t="s">
        <v>227</v>
      </c>
      <c r="L56" s="134" t="s">
        <v>228</v>
      </c>
      <c r="M56" s="134">
        <v>0.22</v>
      </c>
      <c r="N56" s="186">
        <v>0.14499999999999999</v>
      </c>
      <c r="O56" s="357">
        <f>+N56/M56</f>
        <v>0.65909090909090906</v>
      </c>
      <c r="P56" s="134">
        <v>0.4</v>
      </c>
      <c r="Q56" s="218">
        <v>0.14499999999999999</v>
      </c>
      <c r="R56" s="357">
        <f t="shared" si="1"/>
        <v>0.36249999999999993</v>
      </c>
      <c r="S56" s="215"/>
      <c r="T56" s="215"/>
      <c r="U56" s="216"/>
      <c r="V56" s="108"/>
    </row>
    <row r="57" spans="3:22" ht="111" customHeight="1" thickBot="1" x14ac:dyDescent="0.3">
      <c r="C57" s="1086"/>
      <c r="D57" s="1085"/>
      <c r="E57" s="710"/>
      <c r="F57" s="713"/>
      <c r="G57" s="713"/>
      <c r="H57" s="732" t="s">
        <v>242</v>
      </c>
      <c r="I57" s="751" t="s">
        <v>237</v>
      </c>
      <c r="J57" s="669" t="s">
        <v>244</v>
      </c>
      <c r="K57" s="671" t="s">
        <v>239</v>
      </c>
      <c r="L57" s="675" t="s">
        <v>240</v>
      </c>
      <c r="M57" s="677">
        <v>700</v>
      </c>
      <c r="N57" s="677">
        <v>452</v>
      </c>
      <c r="O57" s="354">
        <f t="shared" si="0"/>
        <v>0.64571428571428569</v>
      </c>
      <c r="P57" s="677">
        <v>1550</v>
      </c>
      <c r="Q57" s="661">
        <v>1236</v>
      </c>
      <c r="R57" s="354">
        <f t="shared" si="1"/>
        <v>0.79741935483870963</v>
      </c>
      <c r="S57" s="215"/>
      <c r="T57" s="215"/>
      <c r="U57" s="662"/>
      <c r="V57" s="108"/>
    </row>
    <row r="58" spans="3:22" ht="67.5" customHeight="1" x14ac:dyDescent="0.25">
      <c r="C58" s="1086"/>
      <c r="D58" s="1085"/>
      <c r="E58" s="710"/>
      <c r="F58" s="713"/>
      <c r="G58" s="713"/>
      <c r="H58" s="733"/>
      <c r="I58" s="730"/>
      <c r="J58" s="718" t="s">
        <v>298</v>
      </c>
      <c r="K58" s="752" t="s">
        <v>332</v>
      </c>
      <c r="L58" s="752" t="s">
        <v>333</v>
      </c>
      <c r="M58" s="1134">
        <v>1</v>
      </c>
      <c r="N58" s="1134"/>
      <c r="O58" s="769">
        <f t="shared" si="0"/>
        <v>0</v>
      </c>
      <c r="P58" s="752">
        <v>1</v>
      </c>
      <c r="Q58" s="1131">
        <v>0.98</v>
      </c>
      <c r="R58" s="769">
        <f t="shared" si="1"/>
        <v>0.98</v>
      </c>
      <c r="S58" s="215"/>
      <c r="T58" s="215"/>
      <c r="U58" s="216"/>
      <c r="V58" s="108"/>
    </row>
    <row r="59" spans="3:22" ht="54" customHeight="1" thickBot="1" x14ac:dyDescent="0.3">
      <c r="C59" s="1084"/>
      <c r="D59" s="1082"/>
      <c r="E59" s="710"/>
      <c r="F59" s="713"/>
      <c r="G59" s="713"/>
      <c r="H59" s="734"/>
      <c r="I59" s="731"/>
      <c r="J59" s="719"/>
      <c r="K59" s="753"/>
      <c r="L59" s="753"/>
      <c r="M59" s="1135"/>
      <c r="N59" s="1135"/>
      <c r="O59" s="770"/>
      <c r="P59" s="753"/>
      <c r="Q59" s="1132"/>
      <c r="R59" s="770"/>
      <c r="S59" s="215"/>
      <c r="T59" s="215"/>
      <c r="U59" s="216"/>
      <c r="V59" s="108"/>
    </row>
    <row r="60" spans="3:22" ht="132.75" customHeight="1" thickBot="1" x14ac:dyDescent="0.3">
      <c r="C60" s="1083">
        <v>3</v>
      </c>
      <c r="D60" s="1081" t="s">
        <v>70</v>
      </c>
      <c r="E60" s="710"/>
      <c r="F60" s="713"/>
      <c r="G60" s="713"/>
      <c r="H60" s="733" t="s">
        <v>236</v>
      </c>
      <c r="I60" s="1133" t="s">
        <v>697</v>
      </c>
      <c r="J60" s="669" t="s">
        <v>238</v>
      </c>
      <c r="K60" s="671" t="s">
        <v>698</v>
      </c>
      <c r="L60" s="675" t="s">
        <v>699</v>
      </c>
      <c r="M60" s="678">
        <v>0.25</v>
      </c>
      <c r="N60" s="678">
        <v>0.25</v>
      </c>
      <c r="O60" s="354">
        <f>+N60/M60</f>
        <v>1</v>
      </c>
      <c r="P60" s="683">
        <v>0.5</v>
      </c>
      <c r="Q60" s="678">
        <v>0.44</v>
      </c>
      <c r="R60" s="354">
        <f t="shared" si="1"/>
        <v>0.88</v>
      </c>
      <c r="S60" s="215"/>
      <c r="T60" s="215"/>
      <c r="U60" s="216"/>
      <c r="V60" s="108"/>
    </row>
    <row r="61" spans="3:22" ht="171" customHeight="1" thickBot="1" x14ac:dyDescent="0.3">
      <c r="C61" s="1084"/>
      <c r="D61" s="1082"/>
      <c r="E61" s="711"/>
      <c r="F61" s="714"/>
      <c r="G61" s="714"/>
      <c r="H61" s="734"/>
      <c r="I61" s="795"/>
      <c r="J61" s="132" t="s">
        <v>241</v>
      </c>
      <c r="K61" s="133" t="s">
        <v>804</v>
      </c>
      <c r="L61" s="134" t="s">
        <v>228</v>
      </c>
      <c r="M61" s="186">
        <v>0.20830000000000001</v>
      </c>
      <c r="N61" s="186">
        <v>0.20830000000000001</v>
      </c>
      <c r="O61" s="50">
        <f>+N61/M61</f>
        <v>1</v>
      </c>
      <c r="P61" s="178">
        <v>0.49990000000000001</v>
      </c>
      <c r="Q61" s="218">
        <v>0.43330000000000002</v>
      </c>
      <c r="R61" s="50">
        <f>+Q61/P61</f>
        <v>0.86677335467093419</v>
      </c>
      <c r="S61" s="215"/>
      <c r="T61" s="215"/>
      <c r="U61" s="216"/>
      <c r="V61" s="108"/>
    </row>
    <row r="62" spans="3:22" ht="123" customHeight="1" x14ac:dyDescent="0.25">
      <c r="C62" s="1083">
        <v>4</v>
      </c>
      <c r="D62" s="1081" t="s">
        <v>246</v>
      </c>
      <c r="E62" s="709">
        <v>401</v>
      </c>
      <c r="F62" s="712" t="s">
        <v>247</v>
      </c>
      <c r="G62" s="712" t="s">
        <v>249</v>
      </c>
      <c r="H62" s="791" t="s">
        <v>578</v>
      </c>
      <c r="I62" s="806" t="s">
        <v>687</v>
      </c>
      <c r="J62" s="804" t="s">
        <v>579</v>
      </c>
      <c r="K62" s="806" t="s">
        <v>688</v>
      </c>
      <c r="L62" s="798" t="s">
        <v>686</v>
      </c>
      <c r="M62" s="1139">
        <v>5</v>
      </c>
      <c r="N62" s="1139">
        <v>5</v>
      </c>
      <c r="O62" s="769">
        <f t="shared" si="0"/>
        <v>1</v>
      </c>
      <c r="P62" s="1139">
        <v>9</v>
      </c>
      <c r="Q62" s="1139">
        <v>7</v>
      </c>
      <c r="R62" s="769">
        <f t="shared" si="1"/>
        <v>0.77777777777777779</v>
      </c>
      <c r="S62" s="233"/>
      <c r="T62" s="233"/>
      <c r="U62" s="234"/>
      <c r="V62" s="108"/>
    </row>
    <row r="63" spans="3:22" ht="96.75" customHeight="1" thickBot="1" x14ac:dyDescent="0.3">
      <c r="C63" s="1084"/>
      <c r="D63" s="1082"/>
      <c r="E63" s="711"/>
      <c r="F63" s="714"/>
      <c r="G63" s="714"/>
      <c r="H63" s="792"/>
      <c r="I63" s="807"/>
      <c r="J63" s="805"/>
      <c r="K63" s="807"/>
      <c r="L63" s="799"/>
      <c r="M63" s="1140"/>
      <c r="N63" s="1140"/>
      <c r="O63" s="770"/>
      <c r="P63" s="1140"/>
      <c r="Q63" s="1140"/>
      <c r="R63" s="770"/>
      <c r="S63" s="233"/>
      <c r="T63" s="233"/>
      <c r="U63" s="234"/>
      <c r="V63" s="108"/>
    </row>
    <row r="64" spans="3:22" ht="132" customHeight="1" thickBot="1" x14ac:dyDescent="0.3">
      <c r="C64" s="1083">
        <v>4</v>
      </c>
      <c r="D64" s="1081" t="s">
        <v>246</v>
      </c>
      <c r="E64" s="710">
        <v>402</v>
      </c>
      <c r="F64" s="713" t="s">
        <v>286</v>
      </c>
      <c r="G64" s="668" t="s">
        <v>253</v>
      </c>
      <c r="H64" s="1143" t="s">
        <v>580</v>
      </c>
      <c r="I64" s="1144" t="s">
        <v>690</v>
      </c>
      <c r="J64" s="1136" t="s">
        <v>581</v>
      </c>
      <c r="K64" s="1137" t="s">
        <v>691</v>
      </c>
      <c r="L64" s="1138" t="s">
        <v>689</v>
      </c>
      <c r="M64" s="1138">
        <v>0</v>
      </c>
      <c r="N64" s="1138">
        <v>0</v>
      </c>
      <c r="O64" s="1141">
        <v>0</v>
      </c>
      <c r="P64" s="1138">
        <v>0</v>
      </c>
      <c r="Q64" s="1138">
        <v>0</v>
      </c>
      <c r="R64" s="1141">
        <v>0</v>
      </c>
      <c r="S64" s="235"/>
      <c r="T64" s="235"/>
      <c r="U64" s="236"/>
      <c r="V64" s="108"/>
    </row>
    <row r="65" spans="1:22" ht="75.75" customHeight="1" thickBot="1" x14ac:dyDescent="0.3">
      <c r="C65" s="1086"/>
      <c r="D65" s="1085"/>
      <c r="E65" s="711"/>
      <c r="F65" s="714"/>
      <c r="G65" s="668" t="s">
        <v>717</v>
      </c>
      <c r="H65" s="792"/>
      <c r="I65" s="803"/>
      <c r="J65" s="805"/>
      <c r="K65" s="807"/>
      <c r="L65" s="799"/>
      <c r="M65" s="799"/>
      <c r="N65" s="799"/>
      <c r="O65" s="1142"/>
      <c r="P65" s="799"/>
      <c r="Q65" s="799"/>
      <c r="R65" s="1142"/>
      <c r="S65" s="235"/>
      <c r="T65" s="235"/>
      <c r="U65" s="236"/>
      <c r="V65" s="108"/>
    </row>
    <row r="66" spans="1:22" ht="145.5" customHeight="1" thickBot="1" x14ac:dyDescent="0.3">
      <c r="C66" s="1084"/>
      <c r="D66" s="1082"/>
      <c r="E66" s="665">
        <v>403</v>
      </c>
      <c r="F66" s="668" t="s">
        <v>258</v>
      </c>
      <c r="G66" s="668" t="s">
        <v>260</v>
      </c>
      <c r="H66" s="228" t="s">
        <v>203</v>
      </c>
      <c r="I66" s="229" t="s">
        <v>704</v>
      </c>
      <c r="J66" s="230" t="s">
        <v>205</v>
      </c>
      <c r="K66" s="229" t="s">
        <v>194</v>
      </c>
      <c r="L66" s="231" t="s">
        <v>194</v>
      </c>
      <c r="M66" s="232">
        <v>1</v>
      </c>
      <c r="N66" s="232">
        <v>0</v>
      </c>
      <c r="O66" s="51">
        <f>+N66/M66</f>
        <v>0</v>
      </c>
      <c r="P66" s="232">
        <v>1</v>
      </c>
      <c r="Q66" s="232">
        <v>1</v>
      </c>
      <c r="R66" s="51">
        <v>1</v>
      </c>
      <c r="S66" s="233"/>
      <c r="T66" s="233"/>
      <c r="U66" s="234"/>
      <c r="V66" s="108"/>
    </row>
    <row r="67" spans="1:22" ht="12.75" customHeight="1" x14ac:dyDescent="0.35">
      <c r="C67" s="240"/>
      <c r="D67" s="109"/>
      <c r="E67" s="108"/>
      <c r="F67" s="110"/>
      <c r="G67" s="110"/>
      <c r="H67" s="241"/>
      <c r="I67" s="241"/>
      <c r="J67" s="241"/>
      <c r="K67" s="241"/>
      <c r="L67" s="241"/>
      <c r="M67" s="241"/>
      <c r="N67" s="241"/>
      <c r="O67" s="241"/>
      <c r="P67" s="241"/>
      <c r="Q67" s="241"/>
      <c r="R67" s="241"/>
      <c r="S67" s="241"/>
      <c r="T67" s="241"/>
      <c r="U67" s="241"/>
      <c r="V67" s="108"/>
    </row>
    <row r="68" spans="1:22" s="243" customFormat="1" x14ac:dyDescent="0.35">
      <c r="A68" s="109"/>
      <c r="B68" s="109"/>
      <c r="C68" s="108"/>
      <c r="D68" s="109"/>
      <c r="E68" s="108"/>
      <c r="F68" s="110"/>
      <c r="G68" s="110"/>
      <c r="H68" s="108"/>
      <c r="I68" s="108"/>
      <c r="J68" s="108"/>
      <c r="K68" s="108"/>
      <c r="L68" s="108"/>
      <c r="M68" s="108"/>
      <c r="N68" s="108"/>
      <c r="O68" s="108"/>
      <c r="P68" s="108"/>
      <c r="Q68" s="108"/>
      <c r="R68" s="108"/>
      <c r="S68" s="108"/>
      <c r="T68" s="108"/>
      <c r="U68" s="108"/>
      <c r="V68" s="109"/>
    </row>
    <row r="69" spans="1:22" x14ac:dyDescent="0.35">
      <c r="C69" s="108"/>
      <c r="D69" s="109"/>
      <c r="E69" s="108"/>
      <c r="F69" s="110"/>
      <c r="G69" s="110"/>
      <c r="H69" s="108"/>
      <c r="I69" s="108"/>
      <c r="J69" s="108"/>
      <c r="K69" s="108"/>
      <c r="L69" s="108"/>
      <c r="M69" s="108"/>
      <c r="N69" s="108"/>
      <c r="O69" s="108"/>
      <c r="P69" s="108"/>
      <c r="Q69" s="108"/>
      <c r="R69" s="108"/>
      <c r="S69" s="108"/>
      <c r="T69" s="108"/>
      <c r="U69" s="108"/>
      <c r="V69" s="108"/>
    </row>
    <row r="70" spans="1:22" x14ac:dyDescent="0.35">
      <c r="C70" s="108"/>
      <c r="D70" s="109"/>
      <c r="E70" s="108"/>
      <c r="F70" s="110"/>
      <c r="G70" s="110"/>
      <c r="H70" s="108"/>
      <c r="I70" s="108"/>
      <c r="J70" s="108"/>
      <c r="K70" s="108"/>
      <c r="L70" s="108"/>
      <c r="M70" s="108"/>
      <c r="N70" s="108"/>
      <c r="O70" s="108"/>
      <c r="P70" s="108"/>
      <c r="Q70" s="108"/>
      <c r="R70" s="108"/>
      <c r="S70" s="108"/>
      <c r="T70" s="108"/>
      <c r="U70" s="108"/>
      <c r="V70" s="108"/>
    </row>
    <row r="71" spans="1:22" x14ac:dyDescent="0.35">
      <c r="C71" s="108"/>
      <c r="D71" s="109"/>
      <c r="E71" s="108"/>
      <c r="F71" s="110"/>
      <c r="G71" s="110"/>
      <c r="H71" s="108"/>
      <c r="I71" s="108"/>
      <c r="J71" s="108"/>
      <c r="K71" s="108"/>
      <c r="L71" s="108"/>
      <c r="M71" s="108"/>
      <c r="N71" s="108"/>
      <c r="O71" s="108"/>
      <c r="P71" s="108"/>
      <c r="Q71" s="108"/>
      <c r="R71" s="108"/>
      <c r="S71" s="108"/>
    </row>
    <row r="72" spans="1:22" x14ac:dyDescent="0.35">
      <c r="C72" s="108"/>
      <c r="D72" s="109"/>
      <c r="E72" s="108"/>
      <c r="F72" s="110"/>
      <c r="G72" s="110"/>
      <c r="H72" s="108"/>
      <c r="I72" s="108"/>
      <c r="J72" s="108"/>
      <c r="K72" s="108"/>
      <c r="L72" s="108"/>
      <c r="M72" s="108"/>
      <c r="N72" s="108"/>
      <c r="O72" s="108"/>
      <c r="P72" s="108"/>
      <c r="Q72" s="108"/>
      <c r="R72" s="108"/>
      <c r="S72" s="108"/>
    </row>
    <row r="73" spans="1:22" x14ac:dyDescent="0.35">
      <c r="C73" s="108"/>
      <c r="D73" s="109"/>
      <c r="E73" s="108"/>
      <c r="F73" s="110"/>
      <c r="G73" s="110"/>
      <c r="H73" s="108"/>
      <c r="I73" s="108"/>
      <c r="J73" s="108"/>
      <c r="K73" s="108"/>
      <c r="L73" s="108"/>
      <c r="M73" s="108"/>
      <c r="N73" s="108"/>
      <c r="O73" s="108"/>
      <c r="P73" s="108"/>
      <c r="Q73" s="108"/>
      <c r="R73" s="108"/>
      <c r="S73" s="108"/>
    </row>
    <row r="74" spans="1:22" x14ac:dyDescent="0.35">
      <c r="C74" s="108"/>
      <c r="D74" s="109"/>
      <c r="E74" s="108"/>
      <c r="F74" s="110"/>
      <c r="G74" s="110"/>
      <c r="H74" s="108"/>
      <c r="I74" s="108"/>
      <c r="J74" s="108"/>
      <c r="K74" s="108"/>
      <c r="L74" s="108"/>
      <c r="M74" s="108"/>
      <c r="N74" s="108"/>
      <c r="O74" s="108"/>
      <c r="P74" s="108"/>
      <c r="Q74" s="108"/>
      <c r="R74" s="108"/>
      <c r="S74" s="108"/>
    </row>
    <row r="75" spans="1:22" x14ac:dyDescent="0.35">
      <c r="C75" s="108"/>
      <c r="D75" s="109"/>
      <c r="E75" s="108"/>
      <c r="F75" s="110"/>
      <c r="G75" s="110"/>
      <c r="H75" s="108"/>
      <c r="I75" s="108"/>
      <c r="J75" s="108"/>
      <c r="K75" s="108"/>
      <c r="L75" s="108"/>
      <c r="M75" s="108"/>
      <c r="N75" s="108"/>
      <c r="O75" s="108"/>
      <c r="P75" s="108"/>
      <c r="Q75" s="108"/>
      <c r="R75" s="108"/>
      <c r="S75" s="108"/>
    </row>
    <row r="76" spans="1:22" x14ac:dyDescent="0.35">
      <c r="C76" s="108"/>
      <c r="D76" s="109"/>
      <c r="E76" s="108"/>
      <c r="F76" s="110"/>
      <c r="G76" s="110"/>
      <c r="H76" s="108"/>
      <c r="I76" s="108"/>
      <c r="J76" s="108"/>
      <c r="K76" s="108"/>
      <c r="L76" s="108"/>
      <c r="M76" s="108"/>
      <c r="N76" s="108"/>
      <c r="O76" s="108"/>
      <c r="P76" s="108"/>
      <c r="Q76" s="108"/>
      <c r="R76" s="108"/>
      <c r="S76" s="108"/>
    </row>
    <row r="77" spans="1:22" x14ac:dyDescent="0.35">
      <c r="C77" s="108"/>
      <c r="D77" s="109"/>
      <c r="E77" s="108"/>
      <c r="F77" s="110"/>
      <c r="G77" s="110"/>
      <c r="H77" s="108"/>
      <c r="I77" s="108"/>
      <c r="J77" s="108"/>
      <c r="K77" s="108"/>
      <c r="L77" s="108"/>
      <c r="M77" s="108"/>
      <c r="N77" s="108"/>
      <c r="O77" s="108"/>
      <c r="P77" s="108"/>
      <c r="Q77" s="108"/>
      <c r="R77" s="108"/>
      <c r="S77" s="108"/>
    </row>
    <row r="78" spans="1:22" x14ac:dyDescent="0.35">
      <c r="C78" s="108"/>
      <c r="D78" s="109"/>
      <c r="E78" s="108"/>
      <c r="F78" s="110"/>
      <c r="G78" s="110"/>
      <c r="H78" s="108"/>
      <c r="I78" s="108"/>
      <c r="J78" s="108"/>
      <c r="K78" s="108"/>
      <c r="L78" s="108"/>
      <c r="M78" s="108"/>
      <c r="N78" s="108"/>
      <c r="O78" s="108"/>
      <c r="P78" s="108"/>
      <c r="Q78" s="108"/>
      <c r="R78" s="108"/>
      <c r="S78" s="108"/>
    </row>
    <row r="79" spans="1:22" x14ac:dyDescent="0.35">
      <c r="C79" s="108"/>
      <c r="D79" s="109"/>
      <c r="E79" s="108"/>
      <c r="F79" s="110"/>
      <c r="G79" s="110"/>
      <c r="H79" s="108"/>
      <c r="I79" s="108"/>
      <c r="J79" s="108"/>
      <c r="K79" s="108"/>
      <c r="L79" s="108"/>
      <c r="M79" s="108"/>
      <c r="N79" s="108"/>
      <c r="O79" s="108"/>
      <c r="P79" s="108"/>
      <c r="Q79" s="108"/>
      <c r="R79" s="108"/>
      <c r="S79" s="108"/>
    </row>
    <row r="80" spans="1:22" x14ac:dyDescent="0.35">
      <c r="C80" s="108"/>
      <c r="D80" s="109"/>
      <c r="E80" s="108"/>
      <c r="F80" s="110"/>
      <c r="G80" s="110"/>
      <c r="H80" s="108"/>
      <c r="I80" s="108"/>
      <c r="J80" s="108"/>
      <c r="K80" s="108"/>
      <c r="L80" s="108"/>
      <c r="M80" s="108"/>
      <c r="N80" s="108"/>
      <c r="O80" s="108"/>
      <c r="P80" s="108"/>
      <c r="Q80" s="108"/>
      <c r="R80" s="108"/>
      <c r="S80" s="108"/>
    </row>
    <row r="81" spans="3:19" x14ac:dyDescent="0.35">
      <c r="C81" s="108"/>
      <c r="D81" s="109"/>
      <c r="E81" s="108"/>
      <c r="F81" s="110"/>
      <c r="G81" s="110"/>
      <c r="H81" s="108"/>
      <c r="I81" s="108"/>
      <c r="J81" s="108"/>
      <c r="K81" s="108"/>
      <c r="L81" s="108"/>
      <c r="M81" s="108"/>
      <c r="N81" s="108"/>
      <c r="O81" s="108"/>
      <c r="P81" s="108"/>
      <c r="Q81" s="108"/>
      <c r="R81" s="108"/>
      <c r="S81" s="108"/>
    </row>
    <row r="82" spans="3:19" x14ac:dyDescent="0.35">
      <c r="C82" s="108"/>
      <c r="D82" s="109"/>
      <c r="E82" s="108"/>
      <c r="F82" s="110"/>
      <c r="G82" s="110"/>
      <c r="H82" s="108"/>
      <c r="I82" s="108"/>
      <c r="J82" s="108"/>
      <c r="K82" s="108"/>
      <c r="L82" s="108"/>
      <c r="M82" s="108"/>
      <c r="N82" s="108"/>
      <c r="O82" s="108"/>
      <c r="P82" s="108"/>
      <c r="Q82" s="108"/>
      <c r="R82" s="108"/>
      <c r="S82" s="108"/>
    </row>
  </sheetData>
  <sheetProtection algorithmName="SHA-512" hashValue="Yn81a+AtdshN8KHNfU8OR1W6M5DevNzthv65LRg0V3j/7G9KnpkrgKLd+ITnCyDrXAV737sHtpQjGKBlhb7XtQ==" saltValue="psJF11tFNEEE6f2AoUlwxA==" spinCount="100000" sheet="1" objects="1" scenarios="1"/>
  <mergeCells count="175">
    <mergeCell ref="C60:C61"/>
    <mergeCell ref="D26:D37"/>
    <mergeCell ref="C26:C37"/>
    <mergeCell ref="D24:D25"/>
    <mergeCell ref="C24:C25"/>
    <mergeCell ref="O64:O65"/>
    <mergeCell ref="P64:P65"/>
    <mergeCell ref="Q64:Q65"/>
    <mergeCell ref="R64:R65"/>
    <mergeCell ref="E64:E65"/>
    <mergeCell ref="F64:F65"/>
    <mergeCell ref="H64:H65"/>
    <mergeCell ref="I64:I65"/>
    <mergeCell ref="G62:G63"/>
    <mergeCell ref="H62:H63"/>
    <mergeCell ref="I62:I63"/>
    <mergeCell ref="E62:E63"/>
    <mergeCell ref="F62:F63"/>
    <mergeCell ref="D38:D50"/>
    <mergeCell ref="C38:C50"/>
    <mergeCell ref="C51:C59"/>
    <mergeCell ref="D51:D59"/>
    <mergeCell ref="E41:E44"/>
    <mergeCell ref="F41:F44"/>
    <mergeCell ref="D60:D61"/>
    <mergeCell ref="J64:J65"/>
    <mergeCell ref="K64:K65"/>
    <mergeCell ref="L64:L65"/>
    <mergeCell ref="M64:M65"/>
    <mergeCell ref="N64:N65"/>
    <mergeCell ref="P62:P63"/>
    <mergeCell ref="Q62:Q63"/>
    <mergeCell ref="R62:R63"/>
    <mergeCell ref="K62:K63"/>
    <mergeCell ref="L62:L63"/>
    <mergeCell ref="M62:M63"/>
    <mergeCell ref="N62:N63"/>
    <mergeCell ref="O62:O63"/>
    <mergeCell ref="J62:J63"/>
    <mergeCell ref="E45:E50"/>
    <mergeCell ref="F45:F50"/>
    <mergeCell ref="H45:H47"/>
    <mergeCell ref="I45:I47"/>
    <mergeCell ref="G46:G50"/>
    <mergeCell ref="Q58:Q59"/>
    <mergeCell ref="R58:R59"/>
    <mergeCell ref="H60:H61"/>
    <mergeCell ref="I60:I61"/>
    <mergeCell ref="L58:L59"/>
    <mergeCell ref="M58:M59"/>
    <mergeCell ref="N58:N59"/>
    <mergeCell ref="O58:O59"/>
    <mergeCell ref="P58:P59"/>
    <mergeCell ref="H57:H59"/>
    <mergeCell ref="I57:I59"/>
    <mergeCell ref="J58:J59"/>
    <mergeCell ref="K58:K59"/>
    <mergeCell ref="G42:G44"/>
    <mergeCell ref="M38:M40"/>
    <mergeCell ref="N38:N40"/>
    <mergeCell ref="O38:O40"/>
    <mergeCell ref="P38:P40"/>
    <mergeCell ref="Q38:Q40"/>
    <mergeCell ref="R38:R40"/>
    <mergeCell ref="H54:H55"/>
    <mergeCell ref="I54:I55"/>
    <mergeCell ref="H43:H44"/>
    <mergeCell ref="I43:I44"/>
    <mergeCell ref="E38:E40"/>
    <mergeCell ref="F38:F40"/>
    <mergeCell ref="H38:H40"/>
    <mergeCell ref="I38:I40"/>
    <mergeCell ref="J38:J40"/>
    <mergeCell ref="K38:K40"/>
    <mergeCell ref="L38:L40"/>
    <mergeCell ref="M35:M36"/>
    <mergeCell ref="N35:N36"/>
    <mergeCell ref="G35:G36"/>
    <mergeCell ref="J35:J36"/>
    <mergeCell ref="K35:K36"/>
    <mergeCell ref="L35:L36"/>
    <mergeCell ref="H31:H32"/>
    <mergeCell ref="I31:I32"/>
    <mergeCell ref="E33:E37"/>
    <mergeCell ref="F33:F37"/>
    <mergeCell ref="H33:H36"/>
    <mergeCell ref="I33:I36"/>
    <mergeCell ref="F30:F32"/>
    <mergeCell ref="G30:G32"/>
    <mergeCell ref="R35:R36"/>
    <mergeCell ref="O35:O36"/>
    <mergeCell ref="P35:P36"/>
    <mergeCell ref="Q35:Q36"/>
    <mergeCell ref="G26:G29"/>
    <mergeCell ref="H26:H27"/>
    <mergeCell ref="I26:I27"/>
    <mergeCell ref="O24:O25"/>
    <mergeCell ref="P24:P25"/>
    <mergeCell ref="Q24:Q25"/>
    <mergeCell ref="G24:G25"/>
    <mergeCell ref="H24:H25"/>
    <mergeCell ref="I24:I25"/>
    <mergeCell ref="Q16:Q22"/>
    <mergeCell ref="R16:R22"/>
    <mergeCell ref="E18:E19"/>
    <mergeCell ref="F18:F19"/>
    <mergeCell ref="E20:E22"/>
    <mergeCell ref="F20:F22"/>
    <mergeCell ref="K16:K22"/>
    <mergeCell ref="L16:L22"/>
    <mergeCell ref="J24:J25"/>
    <mergeCell ref="K24:K25"/>
    <mergeCell ref="L24:L25"/>
    <mergeCell ref="M24:M25"/>
    <mergeCell ref="N24:N25"/>
    <mergeCell ref="E10:E12"/>
    <mergeCell ref="F10:F12"/>
    <mergeCell ref="C16:C22"/>
    <mergeCell ref="D16:D22"/>
    <mergeCell ref="E16:E17"/>
    <mergeCell ref="F16:F17"/>
    <mergeCell ref="H16:H22"/>
    <mergeCell ref="I16:I22"/>
    <mergeCell ref="J16:J22"/>
    <mergeCell ref="C9:C15"/>
    <mergeCell ref="D9:D15"/>
    <mergeCell ref="H10:H11"/>
    <mergeCell ref="D62:D63"/>
    <mergeCell ref="C62:C63"/>
    <mergeCell ref="D64:D66"/>
    <mergeCell ref="C64:C66"/>
    <mergeCell ref="L7:L8"/>
    <mergeCell ref="M7:O7"/>
    <mergeCell ref="P7:R7"/>
    <mergeCell ref="M16:M22"/>
    <mergeCell ref="N16:N22"/>
    <mergeCell ref="O16:O22"/>
    <mergeCell ref="E24:E25"/>
    <mergeCell ref="F24:F25"/>
    <mergeCell ref="E26:E29"/>
    <mergeCell ref="F26:F29"/>
    <mergeCell ref="E30:E32"/>
    <mergeCell ref="P16:P22"/>
    <mergeCell ref="R24:R25"/>
    <mergeCell ref="C7:D7"/>
    <mergeCell ref="E13:E15"/>
    <mergeCell ref="F13:F15"/>
    <mergeCell ref="G13:G14"/>
    <mergeCell ref="H13:H15"/>
    <mergeCell ref="I13:R15"/>
    <mergeCell ref="N10:N11"/>
    <mergeCell ref="C2:R2"/>
    <mergeCell ref="J7:J8"/>
    <mergeCell ref="K7:K8"/>
    <mergeCell ref="H7:H8"/>
    <mergeCell ref="I7:I8"/>
    <mergeCell ref="F7:F8"/>
    <mergeCell ref="G7:G8"/>
    <mergeCell ref="E7:E8"/>
    <mergeCell ref="G51:G61"/>
    <mergeCell ref="F51:F61"/>
    <mergeCell ref="E51:E61"/>
    <mergeCell ref="C3:R3"/>
    <mergeCell ref="C4:R4"/>
    <mergeCell ref="C6:G6"/>
    <mergeCell ref="H6:R6"/>
    <mergeCell ref="O10:O11"/>
    <mergeCell ref="P10:P11"/>
    <mergeCell ref="Q10:Q11"/>
    <mergeCell ref="R10:R11"/>
    <mergeCell ref="I10:I11"/>
    <mergeCell ref="J10:J11"/>
    <mergeCell ref="K10:K11"/>
    <mergeCell ref="L10:L11"/>
    <mergeCell ref="M10:M11"/>
  </mergeCells>
  <conditionalFormatting sqref="O9:O10 R10 O26:O29 R26:R29 O60:O62 R60:R62 R41:R48 O41 R33:R35 R54:R58 O54 O56:O58 O52 O50 O45:O48 O33:O35 R50:R52">
    <cfRule type="cellIs" dxfId="14" priority="10" stopIfTrue="1" operator="greaterThanOrEqual">
      <formula>80.01%</formula>
    </cfRule>
    <cfRule type="cellIs" dxfId="13" priority="11" stopIfTrue="1" operator="between">
      <formula>0.501</formula>
      <formula>0.8</formula>
    </cfRule>
    <cfRule type="cellIs" dxfId="12" priority="12" stopIfTrue="1" operator="lessThanOrEqual">
      <formula>0.5</formula>
    </cfRule>
  </conditionalFormatting>
  <conditionalFormatting sqref="R9">
    <cfRule type="cellIs" dxfId="11" priority="7" stopIfTrue="1" operator="greaterThanOrEqual">
      <formula>80.01%</formula>
    </cfRule>
    <cfRule type="cellIs" dxfId="10" priority="8" stopIfTrue="1" operator="between">
      <formula>0.501</formula>
      <formula>0.8</formula>
    </cfRule>
    <cfRule type="cellIs" dxfId="9" priority="9" stopIfTrue="1" operator="lessThanOrEqual">
      <formula>0.5</formula>
    </cfRule>
  </conditionalFormatting>
  <conditionalFormatting sqref="O23:O24 O66">
    <cfRule type="cellIs" dxfId="8" priority="4" stopIfTrue="1" operator="greaterThanOrEqual">
      <formula>80.01%</formula>
    </cfRule>
    <cfRule type="cellIs" dxfId="7" priority="5" stopIfTrue="1" operator="between">
      <formula>0.501</formula>
      <formula>0.8</formula>
    </cfRule>
    <cfRule type="cellIs" dxfId="6" priority="6" stopIfTrue="1" operator="lessThanOrEqual">
      <formula>0.5</formula>
    </cfRule>
  </conditionalFormatting>
  <conditionalFormatting sqref="R12 R23:R24 R66">
    <cfRule type="cellIs" dxfId="5" priority="1" stopIfTrue="1" operator="greaterThanOrEqual">
      <formula>80.01%</formula>
    </cfRule>
    <cfRule type="cellIs" dxfId="4" priority="2" stopIfTrue="1" operator="between">
      <formula>0.501</formula>
      <formula>0.8</formula>
    </cfRule>
    <cfRule type="cellIs" dxfId="3" priority="3" stopIfTrue="1" operator="lessThanOrEqual">
      <formula>0.5</formula>
    </cfRule>
  </conditionalFormatting>
  <pageMargins left="0.59055118110236227" right="0.19685039370078741" top="0.59055118110236227" bottom="0.19685039370078741" header="0.31496062992125984" footer="0"/>
  <pageSetup scale="21" orientation="portrait" r:id="rId1"/>
  <headerFooter alignWithMargins="0">
    <oddFooter>Página &amp;P de &amp;F</oddFooter>
  </headerFooter>
  <rowBreaks count="2" manualBreakCount="2">
    <brk id="37" max="18" man="1"/>
    <brk id="59" max="18" man="1"/>
  </row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52"/>
  <sheetViews>
    <sheetView zoomScale="85" zoomScaleNormal="85" workbookViewId="0">
      <selection activeCell="K10" sqref="K10"/>
    </sheetView>
  </sheetViews>
  <sheetFormatPr baseColWidth="10" defaultRowHeight="12.75" x14ac:dyDescent="0.2"/>
  <cols>
    <col min="1" max="1" width="4.5703125" style="52" customWidth="1"/>
    <col min="2" max="2" width="0.7109375" style="52" customWidth="1"/>
    <col min="3" max="3" width="4.7109375" style="52" customWidth="1"/>
    <col min="4" max="4" width="35.28515625" style="52" customWidth="1"/>
    <col min="5" max="5" width="14.7109375" style="52" customWidth="1"/>
    <col min="6" max="6" width="14.42578125" style="52" customWidth="1"/>
    <col min="7" max="7" width="14.28515625" style="52" customWidth="1"/>
    <col min="8" max="8" width="0.7109375" style="52" customWidth="1"/>
    <col min="9" max="17" width="11.42578125" style="52"/>
    <col min="18" max="18" width="36.85546875" style="52" customWidth="1"/>
    <col min="19" max="16384" width="11.42578125" style="52"/>
  </cols>
  <sheetData>
    <row r="2" spans="1:17" ht="18" x14ac:dyDescent="0.25">
      <c r="B2" s="61"/>
      <c r="C2" s="1145" t="s">
        <v>588</v>
      </c>
      <c r="D2" s="1145"/>
      <c r="E2" s="1145"/>
      <c r="F2" s="1145"/>
      <c r="G2" s="1145"/>
      <c r="H2" s="61"/>
    </row>
    <row r="3" spans="1:17" ht="2.25" customHeight="1" thickBot="1" x14ac:dyDescent="0.25">
      <c r="B3" s="61"/>
      <c r="C3" s="61"/>
      <c r="D3" s="61"/>
      <c r="E3" s="61"/>
      <c r="F3" s="61"/>
      <c r="G3" s="61"/>
      <c r="H3" s="61"/>
    </row>
    <row r="4" spans="1:17" ht="41.25" customHeight="1" x14ac:dyDescent="0.2">
      <c r="B4" s="61"/>
      <c r="C4" s="53" t="s">
        <v>271</v>
      </c>
      <c r="D4" s="54" t="s">
        <v>272</v>
      </c>
      <c r="E4" s="54" t="s">
        <v>273</v>
      </c>
      <c r="F4" s="54" t="s">
        <v>270</v>
      </c>
      <c r="G4" s="55" t="s">
        <v>223</v>
      </c>
      <c r="H4" s="61"/>
    </row>
    <row r="5" spans="1:17" ht="22.5" customHeight="1" x14ac:dyDescent="0.2">
      <c r="B5" s="61"/>
      <c r="C5" s="56">
        <v>1</v>
      </c>
      <c r="D5" s="57" t="s">
        <v>274</v>
      </c>
      <c r="E5" s="429">
        <v>0.39840000000000003</v>
      </c>
      <c r="F5" s="430">
        <v>0.16839999999999999</v>
      </c>
      <c r="G5" s="62">
        <f t="shared" ref="G5:G8" si="0">+F5/E5</f>
        <v>0.42269076305220876</v>
      </c>
      <c r="H5" s="61"/>
    </row>
    <row r="6" spans="1:17" ht="23.25" customHeight="1" x14ac:dyDescent="0.2">
      <c r="B6" s="61"/>
      <c r="C6" s="56">
        <v>2</v>
      </c>
      <c r="D6" s="57" t="s">
        <v>275</v>
      </c>
      <c r="E6" s="429">
        <v>0.51119999999999999</v>
      </c>
      <c r="F6" s="429">
        <v>0</v>
      </c>
      <c r="G6" s="58">
        <f t="shared" si="0"/>
        <v>0</v>
      </c>
      <c r="H6" s="61"/>
    </row>
    <row r="7" spans="1:17" ht="23.25" customHeight="1" x14ac:dyDescent="0.2">
      <c r="B7" s="61"/>
      <c r="C7" s="56">
        <v>3</v>
      </c>
      <c r="D7" s="57" t="s">
        <v>276</v>
      </c>
      <c r="E7" s="425"/>
      <c r="F7" s="425"/>
      <c r="G7" s="58" t="e">
        <f>+F7/E7</f>
        <v>#DIV/0!</v>
      </c>
      <c r="H7" s="61"/>
      <c r="P7" s="81"/>
      <c r="Q7" s="81"/>
    </row>
    <row r="8" spans="1:17" ht="23.25" customHeight="1" x14ac:dyDescent="0.2">
      <c r="B8" s="61"/>
      <c r="C8" s="56">
        <v>4</v>
      </c>
      <c r="D8" s="57" t="s">
        <v>277</v>
      </c>
      <c r="E8" s="426"/>
      <c r="F8" s="426"/>
      <c r="G8" s="58" t="e">
        <f t="shared" si="0"/>
        <v>#DIV/0!</v>
      </c>
      <c r="H8" s="61"/>
      <c r="P8" s="81"/>
      <c r="Q8" s="81"/>
    </row>
    <row r="9" spans="1:17" ht="23.25" customHeight="1" x14ac:dyDescent="0.2">
      <c r="B9" s="61"/>
      <c r="C9" s="56">
        <v>5</v>
      </c>
      <c r="D9" s="57" t="s">
        <v>616</v>
      </c>
      <c r="E9" s="431">
        <v>0.44940210526315794</v>
      </c>
      <c r="F9" s="431">
        <v>0.48377052631578943</v>
      </c>
      <c r="G9" s="58">
        <v>1</v>
      </c>
      <c r="H9" s="61"/>
      <c r="P9" s="60"/>
      <c r="Q9" s="60"/>
    </row>
    <row r="10" spans="1:17" ht="23.25" customHeight="1" x14ac:dyDescent="0.2">
      <c r="B10" s="61"/>
      <c r="C10" s="56">
        <v>6</v>
      </c>
      <c r="D10" s="52" t="s">
        <v>615</v>
      </c>
      <c r="E10" s="429">
        <v>0.44550799999999996</v>
      </c>
      <c r="F10" s="432">
        <v>0.38670600000000005</v>
      </c>
      <c r="G10" s="62">
        <f>+F10/E10</f>
        <v>0.86801134884222075</v>
      </c>
      <c r="H10" s="61"/>
      <c r="P10" s="60"/>
    </row>
    <row r="11" spans="1:17" ht="23.25" customHeight="1" x14ac:dyDescent="0.2">
      <c r="B11" s="61"/>
      <c r="C11" s="56">
        <v>7</v>
      </c>
      <c r="D11" s="57" t="s">
        <v>278</v>
      </c>
      <c r="E11" s="425"/>
      <c r="F11" s="425"/>
      <c r="G11" s="58">
        <v>1</v>
      </c>
      <c r="H11" s="61"/>
    </row>
    <row r="12" spans="1:17" ht="23.25" customHeight="1" x14ac:dyDescent="0.2">
      <c r="B12" s="61"/>
      <c r="C12" s="56">
        <v>8</v>
      </c>
      <c r="D12" s="57" t="s">
        <v>264</v>
      </c>
      <c r="E12" s="426"/>
      <c r="F12" s="425"/>
      <c r="G12" s="58" t="e">
        <f>+F12/E12</f>
        <v>#DIV/0!</v>
      </c>
      <c r="H12" s="61"/>
    </row>
    <row r="13" spans="1:17" ht="24.75" customHeight="1" thickBot="1" x14ac:dyDescent="0.25">
      <c r="B13" s="61"/>
      <c r="C13" s="56">
        <v>9</v>
      </c>
      <c r="D13" s="59" t="s">
        <v>279</v>
      </c>
      <c r="E13" s="433">
        <v>0.28771999999999998</v>
      </c>
      <c r="F13" s="434">
        <v>0.29630470588235291</v>
      </c>
      <c r="G13" s="63">
        <v>1</v>
      </c>
      <c r="H13" s="61"/>
    </row>
    <row r="14" spans="1:17" ht="3" customHeight="1" x14ac:dyDescent="0.2">
      <c r="B14" s="61"/>
      <c r="C14" s="83"/>
      <c r="D14" s="84"/>
      <c r="E14" s="85"/>
      <c r="F14" s="86"/>
      <c r="G14" s="61"/>
      <c r="H14" s="61"/>
      <c r="I14" s="61"/>
    </row>
    <row r="15" spans="1:17" x14ac:dyDescent="0.2">
      <c r="B15" s="61"/>
      <c r="E15" s="52" t="s">
        <v>280</v>
      </c>
      <c r="G15" s="82" t="e">
        <f>AVERAGE(G5:G13)</f>
        <v>#DIV/0!</v>
      </c>
      <c r="H15" s="61"/>
    </row>
    <row r="16" spans="1:17" x14ac:dyDescent="0.2">
      <c r="A16" s="61"/>
      <c r="B16" s="61"/>
      <c r="C16" s="61"/>
      <c r="D16" s="61"/>
      <c r="E16" s="61"/>
      <c r="F16" s="61"/>
      <c r="G16" s="61"/>
      <c r="H16" s="61"/>
      <c r="I16" s="61"/>
      <c r="J16" s="61"/>
      <c r="K16" s="61"/>
      <c r="L16" s="61"/>
      <c r="M16" s="61"/>
      <c r="N16" s="61"/>
      <c r="O16" s="61"/>
    </row>
    <row r="17" spans="1:15" x14ac:dyDescent="0.2">
      <c r="A17" s="61"/>
      <c r="B17" s="61"/>
      <c r="C17" s="61"/>
      <c r="D17" s="61"/>
      <c r="E17" s="61"/>
      <c r="F17" s="61"/>
      <c r="G17" s="61"/>
      <c r="H17" s="61"/>
      <c r="I17" s="61"/>
      <c r="J17" s="61"/>
      <c r="K17" s="61"/>
      <c r="L17" s="61"/>
      <c r="M17" s="61"/>
      <c r="N17" s="61"/>
      <c r="O17" s="61"/>
    </row>
    <row r="18" spans="1:15" x14ac:dyDescent="0.2">
      <c r="A18" s="61"/>
      <c r="B18" s="61"/>
      <c r="C18" s="61"/>
      <c r="D18" s="61"/>
      <c r="E18" s="61"/>
      <c r="F18" s="61"/>
      <c r="G18" s="61"/>
      <c r="H18" s="61"/>
      <c r="I18" s="61"/>
      <c r="J18" s="61"/>
      <c r="K18" s="61"/>
      <c r="L18" s="61"/>
      <c r="M18" s="61"/>
      <c r="N18" s="61"/>
      <c r="O18" s="61"/>
    </row>
    <row r="19" spans="1:15" x14ac:dyDescent="0.2">
      <c r="A19" s="61"/>
      <c r="B19" s="61"/>
      <c r="C19" s="61"/>
      <c r="D19" s="61"/>
      <c r="E19" s="61"/>
      <c r="F19" s="61"/>
      <c r="G19" s="61"/>
      <c r="H19" s="61"/>
      <c r="I19" s="61"/>
      <c r="J19" s="61"/>
      <c r="K19" s="61"/>
      <c r="L19" s="61"/>
      <c r="M19" s="61"/>
      <c r="N19" s="61"/>
      <c r="O19" s="61"/>
    </row>
    <row r="20" spans="1:15" x14ac:dyDescent="0.2">
      <c r="A20" s="61"/>
      <c r="B20" s="61"/>
      <c r="C20" s="61"/>
      <c r="D20" s="61"/>
      <c r="E20" s="61"/>
      <c r="F20" s="61"/>
      <c r="G20" s="61"/>
      <c r="H20" s="61"/>
      <c r="I20" s="61"/>
      <c r="J20" s="61"/>
      <c r="K20" s="61"/>
      <c r="L20" s="61"/>
      <c r="M20" s="61"/>
      <c r="N20" s="61"/>
      <c r="O20" s="61"/>
    </row>
    <row r="21" spans="1:15" x14ac:dyDescent="0.2">
      <c r="A21" s="61"/>
      <c r="B21" s="61"/>
      <c r="C21" s="61"/>
      <c r="D21" s="61"/>
      <c r="E21" s="61"/>
      <c r="F21" s="61"/>
      <c r="G21" s="61"/>
      <c r="H21" s="61"/>
      <c r="I21" s="61"/>
      <c r="J21" s="61"/>
      <c r="K21" s="61"/>
      <c r="L21" s="61"/>
      <c r="M21" s="61"/>
      <c r="N21" s="61"/>
      <c r="O21" s="61"/>
    </row>
    <row r="22" spans="1:15" x14ac:dyDescent="0.2">
      <c r="A22" s="61"/>
      <c r="B22" s="61"/>
      <c r="C22" s="61"/>
      <c r="D22" s="61"/>
      <c r="E22" s="61"/>
      <c r="F22" s="61"/>
      <c r="G22" s="61"/>
      <c r="H22" s="61"/>
      <c r="I22" s="61"/>
      <c r="J22" s="61"/>
      <c r="K22" s="61"/>
      <c r="L22" s="61"/>
      <c r="M22" s="61"/>
      <c r="N22" s="61"/>
      <c r="O22" s="61"/>
    </row>
    <row r="23" spans="1:15" x14ac:dyDescent="0.2">
      <c r="A23" s="61"/>
      <c r="B23" s="61"/>
      <c r="C23" s="61"/>
      <c r="D23" s="61"/>
      <c r="E23" s="61"/>
      <c r="F23" s="61"/>
      <c r="G23" s="61"/>
      <c r="H23" s="61"/>
      <c r="I23" s="61"/>
      <c r="J23" s="61"/>
      <c r="K23" s="61"/>
      <c r="L23" s="61"/>
      <c r="M23" s="61"/>
      <c r="N23" s="61"/>
      <c r="O23" s="61"/>
    </row>
    <row r="24" spans="1:15" x14ac:dyDescent="0.2">
      <c r="A24" s="61"/>
      <c r="B24" s="61"/>
      <c r="C24" s="61"/>
      <c r="D24" s="61"/>
      <c r="E24" s="61"/>
      <c r="F24" s="61"/>
      <c r="G24" s="61"/>
      <c r="H24" s="61"/>
      <c r="I24" s="61"/>
      <c r="J24" s="61"/>
      <c r="K24" s="61"/>
      <c r="L24" s="61"/>
      <c r="M24" s="61"/>
      <c r="N24" s="61"/>
      <c r="O24" s="61"/>
    </row>
    <row r="25" spans="1:15" x14ac:dyDescent="0.2">
      <c r="A25" s="61"/>
      <c r="B25" s="61"/>
      <c r="C25" s="61"/>
      <c r="D25" s="61"/>
      <c r="E25" s="61"/>
      <c r="F25" s="61"/>
      <c r="G25" s="61"/>
      <c r="H25" s="61"/>
      <c r="I25" s="61"/>
      <c r="J25" s="61"/>
      <c r="K25" s="61"/>
      <c r="L25" s="61"/>
      <c r="M25" s="61"/>
      <c r="N25" s="61"/>
      <c r="O25" s="61"/>
    </row>
    <row r="26" spans="1:15" x14ac:dyDescent="0.2">
      <c r="A26" s="61"/>
      <c r="B26" s="61"/>
      <c r="C26" s="61"/>
      <c r="D26" s="61"/>
      <c r="E26" s="61"/>
      <c r="F26" s="61"/>
      <c r="G26" s="61"/>
      <c r="H26" s="61"/>
      <c r="I26" s="61"/>
      <c r="J26" s="61"/>
      <c r="K26" s="61"/>
      <c r="L26" s="61"/>
      <c r="M26" s="61"/>
      <c r="N26" s="61"/>
      <c r="O26" s="61"/>
    </row>
    <row r="27" spans="1:15" x14ac:dyDescent="0.2">
      <c r="A27" s="61"/>
      <c r="B27" s="61"/>
      <c r="C27" s="61"/>
      <c r="D27" s="61"/>
      <c r="E27" s="61"/>
      <c r="F27" s="61"/>
      <c r="G27" s="61"/>
      <c r="H27" s="61"/>
      <c r="I27" s="61"/>
      <c r="J27" s="61"/>
      <c r="K27" s="61"/>
      <c r="L27" s="61"/>
      <c r="M27" s="61"/>
      <c r="N27" s="61"/>
      <c r="O27" s="61"/>
    </row>
    <row r="28" spans="1:15" x14ac:dyDescent="0.2">
      <c r="A28" s="61"/>
      <c r="B28" s="61"/>
      <c r="C28" s="61"/>
      <c r="D28" s="61"/>
      <c r="E28" s="61"/>
      <c r="F28" s="61"/>
      <c r="G28" s="61"/>
      <c r="H28" s="61"/>
      <c r="I28" s="61"/>
      <c r="J28" s="61"/>
      <c r="K28" s="61"/>
      <c r="L28" s="61"/>
      <c r="M28" s="61"/>
      <c r="N28" s="61"/>
      <c r="O28" s="61"/>
    </row>
    <row r="29" spans="1:15" x14ac:dyDescent="0.2">
      <c r="A29" s="61"/>
      <c r="B29" s="61"/>
      <c r="C29" s="61"/>
      <c r="D29" s="61"/>
      <c r="E29" s="61"/>
      <c r="F29" s="61"/>
      <c r="G29" s="61"/>
      <c r="H29" s="61"/>
      <c r="I29" s="61"/>
      <c r="J29" s="61"/>
      <c r="K29" s="61"/>
      <c r="L29" s="61"/>
      <c r="M29" s="61"/>
      <c r="N29" s="61"/>
      <c r="O29" s="61"/>
    </row>
    <row r="30" spans="1:15" x14ac:dyDescent="0.2">
      <c r="A30" s="61"/>
      <c r="B30" s="61"/>
      <c r="C30" s="61"/>
      <c r="D30" s="61"/>
      <c r="E30" s="61"/>
      <c r="F30" s="61"/>
      <c r="G30" s="61"/>
      <c r="H30" s="61"/>
      <c r="I30" s="61"/>
      <c r="J30" s="61"/>
      <c r="K30" s="61"/>
      <c r="L30" s="61"/>
      <c r="M30" s="61"/>
      <c r="N30" s="61"/>
      <c r="O30" s="61"/>
    </row>
    <row r="31" spans="1:15" x14ac:dyDescent="0.2">
      <c r="A31" s="61"/>
      <c r="B31" s="61"/>
      <c r="C31" s="61"/>
      <c r="D31" s="61"/>
      <c r="E31" s="61"/>
      <c r="F31" s="61"/>
      <c r="G31" s="61"/>
      <c r="H31" s="61"/>
      <c r="I31" s="61"/>
      <c r="J31" s="61"/>
      <c r="K31" s="61"/>
      <c r="L31" s="61"/>
      <c r="M31" s="61"/>
      <c r="N31" s="61"/>
      <c r="O31" s="61"/>
    </row>
    <row r="32" spans="1:15" x14ac:dyDescent="0.2">
      <c r="A32" s="61"/>
      <c r="B32" s="61"/>
      <c r="C32" s="61"/>
      <c r="D32" s="61"/>
      <c r="E32" s="61"/>
      <c r="F32" s="61"/>
      <c r="G32" s="61"/>
      <c r="H32" s="61"/>
      <c r="I32" s="61"/>
      <c r="J32" s="61"/>
      <c r="K32" s="61"/>
      <c r="L32" s="61"/>
      <c r="M32" s="61"/>
      <c r="N32" s="61"/>
      <c r="O32" s="61"/>
    </row>
    <row r="33" spans="1:17" x14ac:dyDescent="0.2">
      <c r="A33" s="61"/>
      <c r="B33" s="61"/>
      <c r="C33" s="61"/>
      <c r="D33" s="61"/>
      <c r="E33" s="61"/>
      <c r="F33" s="61"/>
      <c r="G33" s="61"/>
      <c r="H33" s="61"/>
      <c r="I33" s="61"/>
      <c r="J33" s="61"/>
      <c r="K33" s="61"/>
      <c r="L33" s="61"/>
      <c r="M33" s="61"/>
      <c r="N33" s="61"/>
      <c r="O33" s="61"/>
    </row>
    <row r="34" spans="1:17" x14ac:dyDescent="0.2">
      <c r="A34" s="61"/>
      <c r="B34" s="61"/>
      <c r="C34" s="61"/>
      <c r="D34" s="61"/>
      <c r="E34" s="61"/>
      <c r="F34" s="61"/>
      <c r="G34" s="61"/>
      <c r="H34" s="61"/>
      <c r="I34" s="61"/>
      <c r="J34" s="61"/>
      <c r="K34" s="61"/>
      <c r="L34" s="61"/>
      <c r="M34" s="61"/>
      <c r="N34" s="61"/>
      <c r="O34" s="61"/>
    </row>
    <row r="35" spans="1:17" x14ac:dyDescent="0.2">
      <c r="A35" s="61"/>
      <c r="B35" s="61"/>
      <c r="C35" s="61"/>
      <c r="D35" s="61"/>
      <c r="E35" s="61"/>
      <c r="F35" s="61"/>
      <c r="G35" s="61"/>
      <c r="H35" s="61"/>
      <c r="I35" s="61"/>
      <c r="J35" s="61"/>
      <c r="K35" s="61"/>
      <c r="L35" s="61"/>
      <c r="M35" s="61"/>
      <c r="N35" s="61"/>
      <c r="O35" s="61"/>
    </row>
    <row r="36" spans="1:17" x14ac:dyDescent="0.2">
      <c r="A36" s="61"/>
      <c r="B36" s="61"/>
      <c r="C36" s="61"/>
      <c r="D36" s="61"/>
      <c r="E36" s="61"/>
      <c r="F36" s="61"/>
      <c r="G36" s="61"/>
      <c r="H36" s="61"/>
      <c r="I36" s="61"/>
      <c r="J36" s="61"/>
      <c r="K36" s="61"/>
      <c r="L36" s="61"/>
      <c r="M36" s="61"/>
      <c r="N36" s="61"/>
      <c r="O36" s="61"/>
    </row>
    <row r="37" spans="1:17" x14ac:dyDescent="0.2">
      <c r="A37" s="61"/>
      <c r="B37" s="61"/>
      <c r="C37" s="61"/>
      <c r="D37" s="61"/>
      <c r="E37" s="61"/>
      <c r="F37" s="61"/>
      <c r="G37" s="61"/>
      <c r="H37" s="61"/>
      <c r="I37" s="61"/>
      <c r="J37" s="61"/>
      <c r="K37" s="61"/>
      <c r="L37" s="61"/>
      <c r="M37" s="61"/>
      <c r="N37" s="61"/>
      <c r="O37" s="61"/>
    </row>
    <row r="38" spans="1:17" x14ac:dyDescent="0.2">
      <c r="A38" s="61"/>
      <c r="B38" s="61"/>
      <c r="C38" s="61"/>
      <c r="D38" s="61"/>
      <c r="E38" s="61"/>
      <c r="F38" s="61"/>
      <c r="G38" s="61"/>
      <c r="H38" s="61"/>
      <c r="I38" s="61"/>
      <c r="J38" s="61"/>
      <c r="K38" s="61"/>
      <c r="L38" s="61"/>
      <c r="M38" s="61"/>
      <c r="N38" s="61"/>
      <c r="O38" s="61"/>
    </row>
    <row r="39" spans="1:17" x14ac:dyDescent="0.2">
      <c r="A39" s="61"/>
      <c r="B39" s="61"/>
      <c r="C39" s="61"/>
      <c r="D39" s="61"/>
      <c r="E39" s="61"/>
      <c r="F39" s="61"/>
      <c r="G39" s="61"/>
      <c r="H39" s="61"/>
      <c r="I39" s="61"/>
      <c r="J39" s="61"/>
      <c r="K39" s="61"/>
      <c r="L39" s="61"/>
      <c r="M39" s="61"/>
      <c r="N39" s="61"/>
      <c r="O39" s="61"/>
    </row>
    <row r="40" spans="1:17" x14ac:dyDescent="0.2">
      <c r="A40" s="61"/>
      <c r="B40" s="61"/>
      <c r="C40" s="61"/>
      <c r="D40" s="61"/>
      <c r="E40" s="61"/>
      <c r="F40" s="61"/>
      <c r="G40" s="61"/>
      <c r="H40" s="61"/>
      <c r="I40" s="61"/>
      <c r="J40" s="61"/>
      <c r="K40" s="61"/>
      <c r="L40" s="61"/>
      <c r="M40" s="61"/>
      <c r="N40" s="61"/>
      <c r="O40" s="61"/>
    </row>
    <row r="41" spans="1:17" x14ac:dyDescent="0.2">
      <c r="A41" s="61"/>
      <c r="B41" s="61"/>
      <c r="C41" s="61"/>
      <c r="D41" s="61"/>
      <c r="E41" s="61"/>
      <c r="F41" s="61"/>
      <c r="G41" s="61"/>
      <c r="H41" s="61"/>
      <c r="I41" s="61"/>
      <c r="J41" s="61"/>
      <c r="K41" s="61"/>
      <c r="L41" s="61"/>
      <c r="M41" s="61"/>
      <c r="N41" s="61"/>
      <c r="O41" s="61"/>
      <c r="Q41" s="362"/>
    </row>
    <row r="42" spans="1:17" x14ac:dyDescent="0.2">
      <c r="A42" s="61"/>
      <c r="B42" s="61"/>
      <c r="C42" s="61"/>
      <c r="D42" s="61"/>
      <c r="E42" s="61"/>
      <c r="F42" s="61"/>
      <c r="G42" s="61"/>
      <c r="H42" s="61"/>
      <c r="I42" s="61"/>
      <c r="J42" s="61"/>
      <c r="K42" s="61"/>
      <c r="L42" s="61"/>
      <c r="M42" s="61"/>
      <c r="N42" s="61"/>
      <c r="O42" s="61"/>
      <c r="Q42" s="60"/>
    </row>
    <row r="43" spans="1:17" x14ac:dyDescent="0.2">
      <c r="A43" s="61"/>
      <c r="B43" s="61"/>
      <c r="C43" s="61"/>
      <c r="D43" s="61"/>
      <c r="E43" s="61"/>
      <c r="F43" s="61"/>
      <c r="G43" s="61"/>
      <c r="H43" s="61"/>
      <c r="I43" s="61"/>
      <c r="J43" s="61"/>
      <c r="K43" s="61"/>
      <c r="L43" s="61"/>
      <c r="M43" s="61"/>
      <c r="N43" s="61"/>
      <c r="O43" s="61"/>
      <c r="Q43" s="60"/>
    </row>
    <row r="44" spans="1:17" x14ac:dyDescent="0.2">
      <c r="A44" s="61"/>
      <c r="B44" s="61"/>
      <c r="C44" s="61"/>
      <c r="D44" s="61"/>
      <c r="E44" s="61"/>
      <c r="F44" s="61"/>
      <c r="G44" s="61"/>
      <c r="H44" s="61"/>
      <c r="I44" s="61"/>
      <c r="J44" s="61"/>
      <c r="K44" s="61"/>
      <c r="L44" s="61"/>
      <c r="M44" s="61"/>
      <c r="N44" s="61"/>
      <c r="O44" s="61"/>
    </row>
    <row r="45" spans="1:17" x14ac:dyDescent="0.2">
      <c r="A45" s="61"/>
      <c r="B45" s="61"/>
      <c r="C45" s="61"/>
      <c r="D45" s="61"/>
      <c r="E45" s="61"/>
      <c r="F45" s="61"/>
      <c r="G45" s="61"/>
      <c r="H45" s="61"/>
      <c r="I45" s="61"/>
      <c r="J45" s="61"/>
      <c r="K45" s="61"/>
      <c r="L45" s="61"/>
      <c r="M45" s="61"/>
      <c r="N45" s="61"/>
      <c r="O45" s="61"/>
    </row>
    <row r="46" spans="1:17" x14ac:dyDescent="0.2">
      <c r="A46" s="61"/>
      <c r="B46" s="61"/>
      <c r="C46" s="61"/>
      <c r="D46" s="61"/>
      <c r="E46" s="61"/>
      <c r="F46" s="61"/>
      <c r="G46" s="61"/>
      <c r="H46" s="61"/>
      <c r="I46" s="61"/>
      <c r="J46" s="61"/>
      <c r="K46" s="61"/>
      <c r="L46" s="61"/>
      <c r="M46" s="61"/>
      <c r="N46" s="61"/>
      <c r="O46" s="61"/>
    </row>
    <row r="47" spans="1:17" x14ac:dyDescent="0.2">
      <c r="A47" s="61"/>
      <c r="B47" s="61"/>
      <c r="C47" s="61"/>
      <c r="D47" s="61"/>
      <c r="E47" s="61"/>
      <c r="F47" s="61"/>
      <c r="G47" s="61"/>
      <c r="H47" s="61"/>
      <c r="I47" s="61"/>
      <c r="J47" s="61"/>
      <c r="K47" s="61"/>
      <c r="L47" s="61"/>
      <c r="M47" s="61"/>
      <c r="N47" s="61"/>
      <c r="O47" s="61"/>
    </row>
    <row r="48" spans="1:17" x14ac:dyDescent="0.2">
      <c r="A48" s="61"/>
      <c r="B48" s="61"/>
      <c r="C48" s="61"/>
      <c r="D48" s="61"/>
      <c r="E48" s="61"/>
      <c r="F48" s="61"/>
      <c r="G48" s="61"/>
      <c r="H48" s="61"/>
      <c r="I48" s="61"/>
      <c r="J48" s="61"/>
      <c r="K48" s="61"/>
      <c r="L48" s="61"/>
      <c r="M48" s="61"/>
      <c r="N48" s="61"/>
      <c r="O48" s="61"/>
    </row>
    <row r="49" spans="1:15" x14ac:dyDescent="0.2">
      <c r="A49" s="61"/>
      <c r="B49" s="61"/>
      <c r="C49" s="61"/>
      <c r="D49" s="61"/>
      <c r="E49" s="61"/>
      <c r="F49" s="61"/>
      <c r="G49" s="61"/>
      <c r="H49" s="61"/>
      <c r="I49" s="61"/>
      <c r="J49" s="61"/>
      <c r="K49" s="61"/>
      <c r="L49" s="61"/>
      <c r="M49" s="61"/>
      <c r="N49" s="61"/>
      <c r="O49" s="61"/>
    </row>
    <row r="50" spans="1:15" x14ac:dyDescent="0.2">
      <c r="A50" s="61"/>
      <c r="B50" s="61"/>
      <c r="C50" s="61"/>
      <c r="D50" s="61"/>
      <c r="E50" s="61"/>
      <c r="F50" s="61"/>
      <c r="G50" s="61"/>
      <c r="H50" s="61"/>
      <c r="I50" s="61"/>
      <c r="J50" s="61"/>
      <c r="K50" s="61"/>
      <c r="L50" s="61"/>
      <c r="M50" s="61"/>
      <c r="N50" s="61"/>
      <c r="O50" s="61"/>
    </row>
    <row r="51" spans="1:15" ht="30" customHeight="1" x14ac:dyDescent="0.2">
      <c r="A51" s="61"/>
      <c r="B51" s="61"/>
      <c r="C51" s="93" t="s">
        <v>300</v>
      </c>
      <c r="D51" s="1146" t="s">
        <v>301</v>
      </c>
      <c r="E51" s="1146"/>
      <c r="F51" s="1146"/>
      <c r="G51" s="1146"/>
      <c r="H51" s="1146"/>
      <c r="I51" s="1146"/>
      <c r="J51" s="1146"/>
      <c r="K51" s="1146"/>
      <c r="L51" s="1146"/>
      <c r="M51" s="1146"/>
      <c r="N51" s="1146"/>
      <c r="O51" s="1146"/>
    </row>
    <row r="52" spans="1:15" x14ac:dyDescent="0.2">
      <c r="A52" s="61"/>
      <c r="B52" s="61"/>
      <c r="C52" s="61"/>
      <c r="D52" s="61"/>
      <c r="E52" s="61"/>
      <c r="F52" s="61"/>
      <c r="G52" s="61"/>
      <c r="H52" s="61"/>
      <c r="I52" s="61"/>
      <c r="J52" s="61"/>
      <c r="K52" s="61"/>
      <c r="L52" s="61"/>
      <c r="M52" s="61"/>
      <c r="N52" s="61"/>
      <c r="O52" s="61"/>
    </row>
  </sheetData>
  <mergeCells count="2">
    <mergeCell ref="C2:G2"/>
    <mergeCell ref="D51:O51"/>
  </mergeCells>
  <conditionalFormatting sqref="G5:G13">
    <cfRule type="cellIs" dxfId="2" priority="4" stopIfTrue="1" operator="greaterThanOrEqual">
      <formula>80.01%</formula>
    </cfRule>
    <cfRule type="cellIs" dxfId="1" priority="5" stopIfTrue="1" operator="between">
      <formula>0.501</formula>
      <formula>0.8</formula>
    </cfRule>
    <cfRule type="cellIs" dxfId="0" priority="6" stopIfTrue="1" operator="lessThanOrEqual">
      <formula>0.5</formula>
    </cfRule>
  </conditionalFormatting>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16</vt:i4>
      </vt:variant>
    </vt:vector>
  </HeadingPairs>
  <TitlesOfParts>
    <vt:vector size="26" baseType="lpstr">
      <vt:lpstr>Matriz OE seguimiento TI</vt:lpstr>
      <vt:lpstr>Matriz OE seguimiento TII</vt:lpstr>
      <vt:lpstr>Matriz OE seguimiento jul.y ago</vt:lpstr>
      <vt:lpstr>Matriz OE segmto julyag </vt:lpstr>
      <vt:lpstr>Matriz OE segto sept.-dic.impre</vt:lpstr>
      <vt:lpstr>Matriz OE segmto sept.-dic (2)</vt:lpstr>
      <vt:lpstr>OE segmto enero-abri impresion</vt:lpstr>
      <vt:lpstr>Resultados mayo-jun19</vt:lpstr>
      <vt:lpstr>promedio trimestre sept.dic</vt:lpstr>
      <vt:lpstr>Hoja1</vt:lpstr>
      <vt:lpstr>'Matriz OE segmto julyag '!Área_de_impresión</vt:lpstr>
      <vt:lpstr>'Matriz OE segmto sept.-dic (2)'!Área_de_impresión</vt:lpstr>
      <vt:lpstr>'Matriz OE segto sept.-dic.impre'!Área_de_impresión</vt:lpstr>
      <vt:lpstr>'Matriz OE seguimiento jul.y ago'!Área_de_impresión</vt:lpstr>
      <vt:lpstr>'Matriz OE seguimiento TI'!Área_de_impresión</vt:lpstr>
      <vt:lpstr>'Matriz OE seguimiento TII'!Área_de_impresión</vt:lpstr>
      <vt:lpstr>'OE segmto enero-abri impresion'!Área_de_impresión</vt:lpstr>
      <vt:lpstr>'Resultados mayo-jun19'!Área_de_impresión</vt:lpstr>
      <vt:lpstr>'Matriz OE segmto julyag '!Títulos_a_imprimir</vt:lpstr>
      <vt:lpstr>'Matriz OE segmto sept.-dic (2)'!Títulos_a_imprimir</vt:lpstr>
      <vt:lpstr>'Matriz OE segto sept.-dic.impre'!Títulos_a_imprimir</vt:lpstr>
      <vt:lpstr>'Matriz OE seguimiento jul.y ago'!Títulos_a_imprimir</vt:lpstr>
      <vt:lpstr>'Matriz OE seguimiento TI'!Títulos_a_imprimir</vt:lpstr>
      <vt:lpstr>'Matriz OE seguimiento TII'!Títulos_a_imprimir</vt:lpstr>
      <vt:lpstr>'OE segmto enero-abri impresion'!Títulos_a_imprimir</vt:lpstr>
      <vt:lpstr>'Resultados mayo-jun19'!Títulos_a_imprimir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I. Serrano Quintanilla</dc:creator>
  <cp:lastModifiedBy>Julio I. Serrano Quintanilla</cp:lastModifiedBy>
  <cp:lastPrinted>2019-09-26T23:23:50Z</cp:lastPrinted>
  <dcterms:created xsi:type="dcterms:W3CDTF">2017-02-27T16:12:50Z</dcterms:created>
  <dcterms:modified xsi:type="dcterms:W3CDTF">2019-09-27T16:56:57Z</dcterms:modified>
</cp:coreProperties>
</file>