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18\PLANEACION INSTITUCIONAL\3.Seguimiento a Planes Operativos 2018\Trimestre sept-dic.2018\Consolidado Trimestre sept.-dic 2018\"/>
    </mc:Choice>
  </mc:AlternateContent>
  <bookViews>
    <workbookView xWindow="0" yWindow="0" windowWidth="19200" windowHeight="10695" firstSheet="1" activeTab="1"/>
  </bookViews>
  <sheets>
    <sheet name="Matriz OE seguimiento jul.y ago" sheetId="9" state="hidden" r:id="rId1"/>
    <sheet name="Resultados sept.-dic.2018" sheetId="14" r:id="rId2"/>
    <sheet name="promedio trimestre sept.dic" sheetId="5" state="hidden" r:id="rId3"/>
  </sheets>
  <definedNames>
    <definedName name="_xlnm._FilterDatabase" localSheetId="0" hidden="1">'Matriz OE seguimiento jul.y ago'!$G$7:$L$68</definedName>
    <definedName name="_xlnm._FilterDatabase" localSheetId="1" hidden="1">'Resultados sept.-dic.2018'!$G$7:$I$62</definedName>
    <definedName name="_xlnm.Print_Area" localSheetId="0">'Matriz OE seguimiento jul.y ago'!$A$1:$AC$74</definedName>
    <definedName name="_xlnm.Print_Area" localSheetId="1">'Resultados sept.-dic.2018'!$A$1:$U$68</definedName>
    <definedName name="_xlnm.Print_Titles" localSheetId="0">'Matriz OE seguimiento jul.y ago'!$2:$8</definedName>
    <definedName name="_xlnm.Print_Titles" localSheetId="1">'Resultados sept.-dic.2018'!$2:$8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0" i="14" l="1"/>
  <c r="Q64" i="14" l="1"/>
  <c r="T62" i="14"/>
  <c r="Q62" i="14"/>
  <c r="T60" i="14"/>
  <c r="Q60" i="14"/>
  <c r="Q59" i="14"/>
  <c r="T58" i="14"/>
  <c r="Q58" i="14"/>
  <c r="T56" i="14"/>
  <c r="T55" i="14"/>
  <c r="Q55" i="14"/>
  <c r="T54" i="14"/>
  <c r="Q54" i="14"/>
  <c r="T53" i="14"/>
  <c r="Q53" i="14"/>
  <c r="Q52" i="14"/>
  <c r="T51" i="14"/>
  <c r="Q51" i="14"/>
  <c r="Q50" i="14"/>
  <c r="T49" i="14"/>
  <c r="T48" i="14"/>
  <c r="Q48" i="14"/>
  <c r="T47" i="14"/>
  <c r="T46" i="14"/>
  <c r="T45" i="14"/>
  <c r="Q45" i="14"/>
  <c r="T44" i="14"/>
  <c r="Q44" i="14"/>
  <c r="T43" i="14"/>
  <c r="T42" i="14"/>
  <c r="T41" i="14"/>
  <c r="Q38" i="14"/>
  <c r="T37" i="14"/>
  <c r="Q37" i="14"/>
  <c r="T34" i="14"/>
  <c r="T32" i="14"/>
  <c r="Q32" i="14"/>
  <c r="Q31" i="14"/>
  <c r="T30" i="14"/>
  <c r="T28" i="14"/>
  <c r="Q27" i="14"/>
  <c r="T26" i="14"/>
  <c r="Q25" i="14"/>
  <c r="T24" i="14"/>
  <c r="Q24" i="14"/>
  <c r="T23" i="14"/>
  <c r="Q23" i="14"/>
  <c r="T22" i="14"/>
  <c r="Q22" i="14"/>
  <c r="Q21" i="14"/>
  <c r="T20" i="14"/>
  <c r="Q20" i="14"/>
  <c r="Q13" i="14"/>
  <c r="T12" i="14"/>
  <c r="Q12" i="14"/>
  <c r="Q10" i="14"/>
  <c r="Q9" i="14"/>
  <c r="T9" i="14" l="1"/>
  <c r="T10" i="14"/>
  <c r="T13" i="14"/>
  <c r="T21" i="14"/>
  <c r="T25" i="14"/>
  <c r="T27" i="14"/>
  <c r="T31" i="14"/>
  <c r="T33" i="14"/>
  <c r="T50" i="14"/>
  <c r="T52" i="14"/>
  <c r="T59" i="14"/>
  <c r="T64" i="14"/>
  <c r="G10" i="5" l="1"/>
  <c r="G7" i="5" l="1"/>
  <c r="W46" i="9" l="1"/>
  <c r="U9" i="9" l="1"/>
  <c r="U10" i="9"/>
  <c r="Y70" i="9" l="1"/>
  <c r="X70" i="9"/>
  <c r="Y68" i="9"/>
  <c r="X68" i="9"/>
  <c r="V68" i="9"/>
  <c r="AE67" i="9"/>
  <c r="AD67" i="9"/>
  <c r="X67" i="9"/>
  <c r="Y67" i="9" s="1"/>
  <c r="V67" i="9"/>
  <c r="X66" i="9"/>
  <c r="W66" i="9"/>
  <c r="Y66" i="9" s="1"/>
  <c r="V66" i="9"/>
  <c r="X65" i="9"/>
  <c r="W65" i="9"/>
  <c r="Y65" i="9" s="1"/>
  <c r="V65" i="9"/>
  <c r="Y64" i="9"/>
  <c r="V64" i="9"/>
  <c r="X63" i="9"/>
  <c r="W63" i="9"/>
  <c r="Y63" i="9" s="1"/>
  <c r="V63" i="9"/>
  <c r="X62" i="9"/>
  <c r="W62" i="9"/>
  <c r="Y62" i="9" s="1"/>
  <c r="V62" i="9"/>
  <c r="X61" i="9"/>
  <c r="W61" i="9"/>
  <c r="Y61" i="9" s="1"/>
  <c r="V61" i="9"/>
  <c r="Y60" i="9"/>
  <c r="V60" i="9"/>
  <c r="Y59" i="9"/>
  <c r="V59" i="9"/>
  <c r="Y58" i="9"/>
  <c r="X58" i="9"/>
  <c r="V58" i="9"/>
  <c r="X57" i="9"/>
  <c r="Y57" i="9" s="1"/>
  <c r="V57" i="9"/>
  <c r="X56" i="9"/>
  <c r="W56" i="9"/>
  <c r="Y56" i="9" s="1"/>
  <c r="V56" i="9"/>
  <c r="X55" i="9"/>
  <c r="W55" i="9"/>
  <c r="Y55" i="9" s="1"/>
  <c r="V55" i="9"/>
  <c r="Y54" i="9"/>
  <c r="X54" i="9"/>
  <c r="V54" i="9"/>
  <c r="X53" i="9"/>
  <c r="Y53" i="9" s="1"/>
  <c r="W53" i="9"/>
  <c r="V53" i="9"/>
  <c r="X52" i="9"/>
  <c r="Y52" i="9" s="1"/>
  <c r="V52" i="9"/>
  <c r="Y51" i="9"/>
  <c r="V51" i="9"/>
  <c r="Y50" i="9"/>
  <c r="V50" i="9"/>
  <c r="Y49" i="9"/>
  <c r="V49" i="9"/>
  <c r="Y48" i="9"/>
  <c r="V48" i="9"/>
  <c r="Y47" i="9"/>
  <c r="V47" i="9"/>
  <c r="Y46" i="9"/>
  <c r="X46" i="9"/>
  <c r="V46" i="9"/>
  <c r="Y45" i="9"/>
  <c r="V45" i="9"/>
  <c r="X44" i="9"/>
  <c r="Y44" i="9" s="1"/>
  <c r="V44" i="9"/>
  <c r="X43" i="9"/>
  <c r="X42" i="9"/>
  <c r="Y42" i="9" s="1"/>
  <c r="W42" i="9"/>
  <c r="V42" i="9"/>
  <c r="U42" i="9"/>
  <c r="X39" i="9"/>
  <c r="W39" i="9"/>
  <c r="Y39" i="9" s="1"/>
  <c r="V39" i="9"/>
  <c r="Y38" i="9"/>
  <c r="X38" i="9"/>
  <c r="V38" i="9"/>
  <c r="X36" i="9"/>
  <c r="Y36" i="9" s="1"/>
  <c r="W36" i="9"/>
  <c r="V36" i="9"/>
  <c r="X35" i="9"/>
  <c r="Y35" i="9" s="1"/>
  <c r="W35" i="9"/>
  <c r="V35" i="9"/>
  <c r="X34" i="9"/>
  <c r="Y34" i="9" s="1"/>
  <c r="X33" i="9"/>
  <c r="Y33" i="9" s="1"/>
  <c r="X32" i="9"/>
  <c r="Y32" i="9" s="1"/>
  <c r="V32" i="9"/>
  <c r="Y31" i="9"/>
  <c r="V31" i="9"/>
  <c r="Y30" i="9"/>
  <c r="X30" i="9"/>
  <c r="V30" i="9"/>
  <c r="X29" i="9"/>
  <c r="Y29" i="9" s="1"/>
  <c r="W29" i="9"/>
  <c r="V29" i="9"/>
  <c r="X28" i="9"/>
  <c r="Y28" i="9" s="1"/>
  <c r="W28" i="9"/>
  <c r="V28" i="9"/>
  <c r="AG27" i="9"/>
  <c r="Y27" i="9"/>
  <c r="V27" i="9"/>
  <c r="Y26" i="9"/>
  <c r="V26" i="9"/>
  <c r="X25" i="9"/>
  <c r="W25" i="9"/>
  <c r="Y25" i="9" s="1"/>
  <c r="V25" i="9"/>
  <c r="X24" i="9"/>
  <c r="W24" i="9"/>
  <c r="Y24" i="9" s="1"/>
  <c r="V24" i="9"/>
  <c r="Y23" i="9"/>
  <c r="V23" i="9"/>
  <c r="X16" i="9"/>
  <c r="W16" i="9"/>
  <c r="Y16" i="9" s="1"/>
  <c r="V16" i="9"/>
  <c r="X15" i="9"/>
  <c r="W15" i="9"/>
  <c r="Y15" i="9" s="1"/>
  <c r="V15" i="9"/>
  <c r="X14" i="9"/>
  <c r="W14" i="9"/>
  <c r="Y14" i="9" s="1"/>
  <c r="V14" i="9"/>
  <c r="X13" i="9"/>
  <c r="W13" i="9"/>
  <c r="Y13" i="9" s="1"/>
  <c r="V13" i="9"/>
  <c r="X12" i="9"/>
  <c r="W12" i="9"/>
  <c r="Y12" i="9" s="1"/>
  <c r="V12" i="9"/>
  <c r="X10" i="9"/>
  <c r="W10" i="9"/>
  <c r="V10" i="9"/>
  <c r="X9" i="9"/>
  <c r="W9" i="9"/>
  <c r="V9" i="9"/>
  <c r="Y10" i="9" l="1"/>
  <c r="Y9" i="9"/>
  <c r="G12" i="5" l="1"/>
  <c r="G8" i="5" l="1"/>
  <c r="G6" i="5"/>
  <c r="G5" i="5" l="1"/>
  <c r="G15" i="5" l="1"/>
</calcChain>
</file>

<file path=xl/comments1.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X26" authorId="1" shapeId="0">
      <text>
        <r>
          <rPr>
            <b/>
            <sz val="20"/>
            <color indexed="81"/>
            <rFont val="Tahoma"/>
            <family val="2"/>
          </rPr>
          <t>Promedio a septiembre</t>
        </r>
      </text>
    </comment>
    <comment ref="X27" authorId="1" shapeId="0">
      <text>
        <r>
          <rPr>
            <b/>
            <sz val="20"/>
            <color indexed="81"/>
            <rFont val="Tahoma"/>
            <family val="2"/>
          </rPr>
          <t xml:space="preserve">Promedio a septiembre
</t>
        </r>
      </text>
    </comment>
    <comment ref="W65" authorId="1" shapeId="0">
      <text>
        <r>
          <rPr>
            <b/>
            <sz val="9"/>
            <color indexed="81"/>
            <rFont val="Tahoma"/>
            <family val="2"/>
          </rPr>
          <t>Se ajusto porcentaje</t>
        </r>
        <r>
          <rPr>
            <sz val="9"/>
            <color indexed="81"/>
            <rFont val="Tahoma"/>
            <family val="2"/>
          </rPr>
          <t xml:space="preserve">
</t>
        </r>
      </text>
    </comment>
  </commentList>
</comments>
</file>

<file path=xl/comments2.xml><?xml version="1.0" encoding="utf-8"?>
<comments xmlns="http://schemas.openxmlformats.org/spreadsheetml/2006/main">
  <authors>
    <author>Julio I. Serrano Quintanilla</author>
  </authors>
  <commentList>
    <comment ref="R59" authorId="0" shapeId="0">
      <text>
        <r>
          <rPr>
            <b/>
            <sz val="9"/>
            <color indexed="81"/>
            <rFont val="Tahoma"/>
            <family val="2"/>
          </rPr>
          <t>Se ajusto porcentaje</t>
        </r>
        <r>
          <rPr>
            <sz val="9"/>
            <color indexed="81"/>
            <rFont val="Tahoma"/>
            <family val="2"/>
          </rPr>
          <t xml:space="preserve">
</t>
        </r>
      </text>
    </comment>
  </commentList>
</comments>
</file>

<file path=xl/sharedStrings.xml><?xml version="1.0" encoding="utf-8"?>
<sst xmlns="http://schemas.openxmlformats.org/spreadsheetml/2006/main" count="840" uniqueCount="523">
  <si>
    <t>PLANEACIÓN ESTRATÉGICA 2015 - 2019</t>
  </si>
  <si>
    <t>OBJETIVOS INSTITUCIONALES</t>
  </si>
  <si>
    <t>OBJETIVOS ESTRATÉGICOS POR UNIDAD ORGANIZATIVA</t>
  </si>
  <si>
    <t>Objetivo PQD</t>
  </si>
  <si>
    <t>Objetivos Institucionales</t>
  </si>
  <si>
    <t>Perspectiva</t>
  </si>
  <si>
    <t xml:space="preserve"> Objetivos Estratégicos</t>
  </si>
  <si>
    <t>Indicadores</t>
  </si>
  <si>
    <t>Fórmula  Cálculo</t>
  </si>
  <si>
    <t>Unidad de Medida</t>
  </si>
  <si>
    <t>CÓD.</t>
  </si>
  <si>
    <t>Nombre</t>
  </si>
  <si>
    <t>Nombre de los Objetivos Estratégicos</t>
  </si>
  <si>
    <t xml:space="preserve">% Relevancia </t>
  </si>
  <si>
    <t>Nombre del Indicador</t>
  </si>
  <si>
    <t>Tipo</t>
  </si>
  <si>
    <t>% Relevancia</t>
  </si>
  <si>
    <t>Código</t>
  </si>
  <si>
    <t>Objetivo 5. Acelerar el tránsito hacia una sociedad equitativa e incluyente.</t>
  </si>
  <si>
    <t>Contribuir al desarrollo social del país, Expansión  comercial a nivel nacional y Diversificar e innovar en juegos de azar.</t>
  </si>
  <si>
    <t>Impacto Financiero y Social   (35%)</t>
  </si>
  <si>
    <t xml:space="preserve">Incrementar las utilidades de operación de forma sostenible. </t>
  </si>
  <si>
    <t>10101</t>
  </si>
  <si>
    <t>Incremento de utilidades en relación al ejercicio anterior</t>
  </si>
  <si>
    <t>KRI</t>
  </si>
  <si>
    <t>UFI-02</t>
  </si>
  <si>
    <t>Elaborar y presentar Informes Financieros.</t>
  </si>
  <si>
    <t>UFI-0201</t>
  </si>
  <si>
    <t>US$</t>
  </si>
  <si>
    <t>Administrar de forma eficiente los recursos.</t>
  </si>
  <si>
    <t>10201</t>
  </si>
  <si>
    <t>ROS (Rentabilidad sobre las ventas)</t>
  </si>
  <si>
    <t>UFI-01</t>
  </si>
  <si>
    <t>Administrar eficientemente los recursos financieros de la LNB, cumpliendo con las normas establecidas.</t>
  </si>
  <si>
    <t>UFI-0101</t>
  </si>
  <si>
    <t>10202</t>
  </si>
  <si>
    <t>ROA (Utilidad sobre activo total)</t>
  </si>
  <si>
    <t>10203</t>
  </si>
  <si>
    <t>Ahorro en costos operativos</t>
  </si>
  <si>
    <t>AIN-01</t>
  </si>
  <si>
    <t>AIN-0101</t>
  </si>
  <si>
    <t>Número de exámenes realizados</t>
  </si>
  <si>
    <t>Cantidad</t>
  </si>
  <si>
    <t>Incrementar el aporte y la cobertura a la contribución social al Estado.</t>
  </si>
  <si>
    <t>10301</t>
  </si>
  <si>
    <t>Porcentaje de contribución al desarrollo social.</t>
  </si>
  <si>
    <t>GOT-05</t>
  </si>
  <si>
    <t>Aportar al desarrollo social a través del programa de Lotería en Acción.</t>
  </si>
  <si>
    <t>GOT-0501</t>
  </si>
  <si>
    <t>Número de instituciones beneficiadas</t>
  </si>
  <si>
    <t>10302</t>
  </si>
  <si>
    <t>GOT-0502</t>
  </si>
  <si>
    <t>Clientes (25%)</t>
  </si>
  <si>
    <t>20101</t>
  </si>
  <si>
    <t>Porcentaje de satisfacción del cliente sobre la accesibilidad de los productos.</t>
  </si>
  <si>
    <t>GCO-04</t>
  </si>
  <si>
    <t>Realizar estudios y sondeo de mercado.</t>
  </si>
  <si>
    <t>GCO-0401</t>
  </si>
  <si>
    <t>Número de estudios realizados</t>
  </si>
  <si>
    <t>20102</t>
  </si>
  <si>
    <t xml:space="preserve">Porcentaje de  aceptación de  juegos de azar </t>
  </si>
  <si>
    <t>20201</t>
  </si>
  <si>
    <t>Nivel de compra.</t>
  </si>
  <si>
    <t>20202</t>
  </si>
  <si>
    <t>Porcentaje de avance en el desarrollo de cultura de juego.</t>
  </si>
  <si>
    <t>20301</t>
  </si>
  <si>
    <t>Percepción de la imagen de la ciudadanía</t>
  </si>
  <si>
    <t>20302</t>
  </si>
  <si>
    <t>Nivel de satisfacción de vendedores y consumidores finales.</t>
  </si>
  <si>
    <t>Número de consumidores potenciales convertidos a consumidor final</t>
  </si>
  <si>
    <t>Procesos Internos (20%)</t>
  </si>
  <si>
    <t>Gestionar las reformas del marco regulatorio de la LNB.</t>
  </si>
  <si>
    <t>30101</t>
  </si>
  <si>
    <t>UTL-01</t>
  </si>
  <si>
    <t>Seguimiento a reformas a Ley Orgánica y Reglamento de la LNB.</t>
  </si>
  <si>
    <t>UTL-0101</t>
  </si>
  <si>
    <t>(% ejecutado/% programado)*100</t>
  </si>
  <si>
    <t>Porcentaje</t>
  </si>
  <si>
    <t>Mejorar los procesos para aumentar los resultados de la LNB.</t>
  </si>
  <si>
    <t>30201</t>
  </si>
  <si>
    <t xml:space="preserve">Porcentaje de avance en la mejora de los procesos de LNB. </t>
  </si>
  <si>
    <t>KPI</t>
  </si>
  <si>
    <t>UPE-01</t>
  </si>
  <si>
    <t>Ordenar y documentar los procesos/subprocesos de la LNB.</t>
  </si>
  <si>
    <t>UPE-0101</t>
  </si>
  <si>
    <t>Porcentaje de avance en el ordenamiento y documentación de los procesos.</t>
  </si>
  <si>
    <t>(%Ejecutado/%
Programado)*100</t>
  </si>
  <si>
    <t>UPE-02</t>
  </si>
  <si>
    <t>Sistematizar el Seguimiento y evaluación de la planificación  institucional.</t>
  </si>
  <si>
    <t>UPE-0201</t>
  </si>
  <si>
    <t>Incrementar los niveles de ventas de productos de Lotería.</t>
  </si>
  <si>
    <t>30301</t>
  </si>
  <si>
    <t>GCO-05</t>
  </si>
  <si>
    <t>Lograr la meta de venta mensual de productos de Lotería.</t>
  </si>
  <si>
    <t>GCO-0501</t>
  </si>
  <si>
    <t>(% de venta ejecutado/% de venta programado)*100</t>
  </si>
  <si>
    <t>% de cumplimiento de venta</t>
  </si>
  <si>
    <t>GCO-0502</t>
  </si>
  <si>
    <t>GCO-06</t>
  </si>
  <si>
    <t>GCO-0601</t>
  </si>
  <si>
    <t>Número de promociones implementadas para Vendedores</t>
  </si>
  <si>
    <t>Número de promociones implementadas</t>
  </si>
  <si>
    <t>GCO-07</t>
  </si>
  <si>
    <t>GCO-0701</t>
  </si>
  <si>
    <t>Número de activaciones de productos lanzadas.</t>
  </si>
  <si>
    <t>Número de activaciones ejecutadas</t>
  </si>
  <si>
    <t>GOT-06</t>
  </si>
  <si>
    <t>Actualizar  normativa  para la Administración de los créditos</t>
  </si>
  <si>
    <t>GOT-0601</t>
  </si>
  <si>
    <t xml:space="preserve">Normativa de crédito autorizada </t>
  </si>
  <si>
    <t>Desarrollo contínuo e innovación  de juegos de azar.</t>
  </si>
  <si>
    <t>30401</t>
  </si>
  <si>
    <t>GCO-01</t>
  </si>
  <si>
    <t>Desarrollar  propuesta de nuevos juegos de Lotería, bajo la legislación actual.</t>
  </si>
  <si>
    <t>GCO-0101</t>
  </si>
  <si>
    <t>Número de Nuevos  juegos de Lotería.</t>
  </si>
  <si>
    <t>Propuesta nuevos Juegos autorizados</t>
  </si>
  <si>
    <t>GCO-02</t>
  </si>
  <si>
    <t xml:space="preserve">Mejorar los productos de Lotería existentes. </t>
  </si>
  <si>
    <t>GCO-0201</t>
  </si>
  <si>
    <t>GCO-0202</t>
  </si>
  <si>
    <t>Mejoras  a   productos Lotería Instantánea autorizados.</t>
  </si>
  <si>
    <t>Expandir la cobertura de los Productos de Lotería a nivel Nacional.</t>
  </si>
  <si>
    <t>30501</t>
  </si>
  <si>
    <t>Número de Canales Aprobados.</t>
  </si>
  <si>
    <t>GCO-09</t>
  </si>
  <si>
    <t>Incrementar la fuerza de ventas</t>
  </si>
  <si>
    <t>GCO-0901</t>
  </si>
  <si>
    <t># de nuevos Canales aperturados</t>
  </si>
  <si>
    <t>30502</t>
  </si>
  <si>
    <t>Número de  nuevos  puntos de ventas aperturados.</t>
  </si>
  <si>
    <t>GCO-0903</t>
  </si>
  <si>
    <t>Número de Nuevos puntos de venta abiertos</t>
  </si>
  <si>
    <t>PV a aperturados</t>
  </si>
  <si>
    <t>30503</t>
  </si>
  <si>
    <t>Número de nuevos agentes vendedores reclutados.</t>
  </si>
  <si>
    <t>GCO-0902</t>
  </si>
  <si>
    <t>Número de nuevos agentes vendedores inscritos</t>
  </si>
  <si>
    <t>30504</t>
  </si>
  <si>
    <t>Número de Agencias Aperturadas.</t>
  </si>
  <si>
    <t>GCO-10</t>
  </si>
  <si>
    <t xml:space="preserve">Ampliar la cobertura de puntos de venta en todo el país </t>
  </si>
  <si>
    <t>GCO-1001</t>
  </si>
  <si>
    <t>agencias inauguradas</t>
  </si>
  <si>
    <t>30601</t>
  </si>
  <si>
    <t>Sostenimiento de Canales existentes</t>
  </si>
  <si>
    <t>GCO-08</t>
  </si>
  <si>
    <t>Implementar mecanismos  para mejorar  el servicio al cliente en agencias, puntos de venta y kioscos.</t>
  </si>
  <si>
    <t>GCO-0801</t>
  </si>
  <si>
    <t>Número de acciones  ejecutadas</t>
  </si>
  <si>
    <t xml:space="preserve">Número de acciones realizadas </t>
  </si>
  <si>
    <t>30602</t>
  </si>
  <si>
    <t>Sostenimiento de  puntos de ventas aperturados</t>
  </si>
  <si>
    <t>30603</t>
  </si>
  <si>
    <t>Número de acciones  desarrolladas.</t>
  </si>
  <si>
    <t>30701</t>
  </si>
  <si>
    <t>Número de proyectos ejecutados.</t>
  </si>
  <si>
    <t>COM-01</t>
  </si>
  <si>
    <t>COM-0101</t>
  </si>
  <si>
    <t>Campañas Publicitaras realizadas</t>
  </si>
  <si>
    <t>COM-02</t>
  </si>
  <si>
    <t>COM-0201</t>
  </si>
  <si>
    <t>Porcentaje de avance  en la  implementación del sistema de comunicación interna y externa</t>
  </si>
  <si>
    <t>(% ejecutado/ % programado)x100</t>
  </si>
  <si>
    <t>% de avance</t>
  </si>
  <si>
    <t>30702</t>
  </si>
  <si>
    <t>GCO-03</t>
  </si>
  <si>
    <t>Realizar campañas publicitarias  para promoción de productos de lotería.</t>
  </si>
  <si>
    <t>GCO-0301</t>
  </si>
  <si>
    <t>Campañas publicitaras ejecutadas</t>
  </si>
  <si>
    <t>GCO-0302</t>
  </si>
  <si>
    <t>Número  de Campañas Publicitarias de Lotin lanzadas.</t>
  </si>
  <si>
    <t>Modernizar los sistemas informáticos de la LNB</t>
  </si>
  <si>
    <t>30801</t>
  </si>
  <si>
    <t>Grado de avance en la actualización del equipo</t>
  </si>
  <si>
    <t>GOT-01</t>
  </si>
  <si>
    <t>GOT-0102</t>
  </si>
  <si>
    <t>30802</t>
  </si>
  <si>
    <t>Grado de avance en la actualización del Software.</t>
  </si>
  <si>
    <t>GOT-0101</t>
  </si>
  <si>
    <t>GOT-0103</t>
  </si>
  <si>
    <t>Efectividad contra  intentos de intrusión a los sistemas de la LNB.</t>
  </si>
  <si>
    <t>Porcentaje efectividad</t>
  </si>
  <si>
    <t>GOT-0104</t>
  </si>
  <si>
    <t xml:space="preserve">Efectividad contra infecciones a los sistemas de la LNB </t>
  </si>
  <si>
    <t>GOT-02</t>
  </si>
  <si>
    <t>Implementar sitio de contingencia de TI</t>
  </si>
  <si>
    <t>GOT-0201</t>
  </si>
  <si>
    <t>GOT-03</t>
  </si>
  <si>
    <t>GOT-0301</t>
  </si>
  <si>
    <t>GOT-04</t>
  </si>
  <si>
    <t>GOT-0401</t>
  </si>
  <si>
    <t>Desarrollar acciones en el marco de la política de participación ciudadana para transparentar la gestión pública de la LNB.</t>
  </si>
  <si>
    <t>30901</t>
  </si>
  <si>
    <t>Número de acciones realizadas</t>
  </si>
  <si>
    <t>GRH-02</t>
  </si>
  <si>
    <t>GRH-0201</t>
  </si>
  <si>
    <t>Número de acciones ejecutadas</t>
  </si>
  <si>
    <t>GCO-12</t>
  </si>
  <si>
    <t>Implementar espacios y  mecanismos de participación  a los agentes vendedores de productos  de lotería.</t>
  </si>
  <si>
    <t>GCO-1201</t>
  </si>
  <si>
    <t>Número de reuniones efectuadas</t>
  </si>
  <si>
    <t>Reuniones efectuadas</t>
  </si>
  <si>
    <t>GCO-13</t>
  </si>
  <si>
    <t>Participar activamente en los Gabinetes de Gestión Departamental.</t>
  </si>
  <si>
    <t>GCO-1301</t>
  </si>
  <si>
    <t>Número de reuniones asistidas</t>
  </si>
  <si>
    <t>Reuniones asistidas</t>
  </si>
  <si>
    <t>GCO-14</t>
  </si>
  <si>
    <t>Promover  el emprendedurismo  a través de la  venta de productos de lotería</t>
  </si>
  <si>
    <t>GCO-1401</t>
  </si>
  <si>
    <t>UAIP-01</t>
  </si>
  <si>
    <t>Proporcionar la información pública y atención de quejas/avisos.</t>
  </si>
  <si>
    <t>UAIP-0101</t>
  </si>
  <si>
    <t>Número de quejas y avisos atendidas.</t>
  </si>
  <si>
    <t>Número de quejas y avisos atendidas</t>
  </si>
  <si>
    <t>UAIP-0102</t>
  </si>
  <si>
    <t xml:space="preserve">Tiempo de respuesta a las Solicitudes. </t>
  </si>
  <si>
    <t>(Tiempo de Respuesta/ Tiempo Requerido) x 100%</t>
  </si>
  <si>
    <t>Número de días de tiempo de respuestas</t>
  </si>
  <si>
    <t>UAIP-0103</t>
  </si>
  <si>
    <t>Porcentaje  de  avance en el cumplimiento de estándares en portal de transparencia.</t>
  </si>
  <si>
    <t>(% de avance obtenido/% de avance proyectado)x100%</t>
  </si>
  <si>
    <t>% de cumplimiento</t>
  </si>
  <si>
    <t>UAIP-02</t>
  </si>
  <si>
    <t>Efectuar la Rendición de Cuentas de la gestión de la LNB.</t>
  </si>
  <si>
    <t>UAIP-0201</t>
  </si>
  <si>
    <t>Porcentaje de avance en la   Rendición de Cuentas.</t>
  </si>
  <si>
    <t>(Porcentaje ejecutado/porcentaje Programado) x100</t>
  </si>
  <si>
    <t>% de Avance</t>
  </si>
  <si>
    <t>COM-03</t>
  </si>
  <si>
    <t>COM-0301</t>
  </si>
  <si>
    <t>Divulgar los mecanismos y espacios de participación ciudadana y las formas de acceder a ellos.</t>
  </si>
  <si>
    <t>Porcentaje de avance  en  la divulgación de mecanismos de participación ciudadana.</t>
  </si>
  <si>
    <t>%ejecutado/%programado)*100</t>
  </si>
  <si>
    <t>%  de Avances</t>
  </si>
  <si>
    <t>GAD-01</t>
  </si>
  <si>
    <t>Realizar sorteos  itinerantes  en lugares públicos para acércanos a la ciudadanía en general.</t>
  </si>
  <si>
    <t>GAD-0101</t>
  </si>
  <si>
    <t>Número de ciudadanos  asistentes  por sorteo.</t>
  </si>
  <si>
    <t>Número de personas asistentes</t>
  </si>
  <si>
    <t>GAD-0102</t>
  </si>
  <si>
    <t>GAD-02</t>
  </si>
  <si>
    <t>Administrar  la Gestión Documental y archivo de la LNB</t>
  </si>
  <si>
    <t>GAD-0201</t>
  </si>
  <si>
    <t>Porcentaje de avance en la implementación de la Gestión Documental y archivo.</t>
  </si>
  <si>
    <t>Aprendizaje y Desarrollo del 
Recurso Humano (20%)</t>
  </si>
  <si>
    <t>Potenciar el talento humano a través de la formación continua e inclusiva.</t>
  </si>
  <si>
    <t>40101</t>
  </si>
  <si>
    <t xml:space="preserve">Porcentaje de empleados capacitados </t>
  </si>
  <si>
    <t>GRH-01</t>
  </si>
  <si>
    <t>GRH-0101</t>
  </si>
  <si>
    <t>40201</t>
  </si>
  <si>
    <t xml:space="preserve">Porcentaje de avance en la satisfacción del recurso humano sobre el clima y práctica de valores. </t>
  </si>
  <si>
    <t>GRH-03</t>
  </si>
  <si>
    <t>GRH-0301</t>
  </si>
  <si>
    <t xml:space="preserve">% de satisfacción </t>
  </si>
  <si>
    <t>40202</t>
  </si>
  <si>
    <t>Generar una cultura y conocimiento en la industria del juego.</t>
  </si>
  <si>
    <t>40301</t>
  </si>
  <si>
    <t>Grado de avance en la cultura de industria  juego de azar.</t>
  </si>
  <si>
    <t>GCO-11</t>
  </si>
  <si>
    <t>Desarrollar acciones  para dar a conocer  los juegos de azar</t>
  </si>
  <si>
    <t>GCO-1101</t>
  </si>
  <si>
    <t>Gerencia Comercial</t>
  </si>
  <si>
    <t xml:space="preserve">%  de Avance </t>
  </si>
  <si>
    <t>Avance Cualitativo</t>
  </si>
  <si>
    <t>Comentarios</t>
  </si>
  <si>
    <t>Ejecutado</t>
  </si>
  <si>
    <t>No.</t>
  </si>
  <si>
    <t>Unidades Organizativas</t>
  </si>
  <si>
    <t>Programado</t>
  </si>
  <si>
    <t>Auditoria Interna</t>
  </si>
  <si>
    <t>UTL</t>
  </si>
  <si>
    <t>UAIP</t>
  </si>
  <si>
    <t>UACI</t>
  </si>
  <si>
    <t>UFI</t>
  </si>
  <si>
    <t>Gerencia Administrativa</t>
  </si>
  <si>
    <t xml:space="preserve">promedio de cumplimiento </t>
  </si>
  <si>
    <t>Motivar a los vendedores y consumidor final a la compra de los productos de Lotería y desarrollar cultura de juego.</t>
  </si>
  <si>
    <t>Posicionar en la opinión pública una imagen de credibilidad y confianza.</t>
  </si>
  <si>
    <t>Acercar los productos de lotería al consumidor final.</t>
  </si>
  <si>
    <t>Fidelizar nuestros vendedores, canales,  puntos de venta y consumidores finales.</t>
  </si>
  <si>
    <t>Fortalecer la imagen institucional y comercial.</t>
  </si>
  <si>
    <t>Promover la Práctica de Valores,  clima laboral y una  actitud de compromiso del personal con la institución.</t>
  </si>
  <si>
    <t>Número de personas beneficiadas.</t>
  </si>
  <si>
    <t>Nivel de avance de la aprobación de las reformas del marco legal.</t>
  </si>
  <si>
    <t>Porcentaje de incrementos en ventas de productos de lotería.</t>
  </si>
  <si>
    <t>Porcentaje de efectividad de los nuevos juegos lanzados e innovados.</t>
  </si>
  <si>
    <t>Efectividad en campañas publicitarias.</t>
  </si>
  <si>
    <t>Modernizar los sistemas informáticos de la LNB.</t>
  </si>
  <si>
    <t>------</t>
  </si>
  <si>
    <t>-------</t>
  </si>
  <si>
    <t>-----</t>
  </si>
  <si>
    <t>GAD-0202</t>
  </si>
  <si>
    <t>De enero a diciembre  se tiene un promedio de venta del 55.82%.</t>
  </si>
  <si>
    <t>*</t>
  </si>
  <si>
    <t xml:space="preserve">El % de cumplimento del 43.67%  es la diferencia de lo programado y ejecutado del segundo y tercer trimestre, ya que el informe del segundo trimestre fue remitido posterior a la fecha de presentado el informe del segundo trimestre y su ejecución fue incorporada en el informe de seguimiento del tercer trimestre. </t>
  </si>
  <si>
    <t>(Rentabilidad Obtenida/Rentabilidad Programada)*100</t>
  </si>
  <si>
    <t>Utilidades generadas por venta de productos (LOTRA - LOTIN)</t>
  </si>
  <si>
    <t xml:space="preserve">Ingresos x ventas - Gastos Totales </t>
  </si>
  <si>
    <t>Verificar el cumplimiento de la PAA 2018 de la LNB.</t>
  </si>
  <si>
    <t>Número de personas beneficiadas con el programa en el 2018.</t>
  </si>
  <si>
    <t># de Instituciones beneficiadas /# de instituciones programadas</t>
  </si>
  <si>
    <t xml:space="preserve">Número de beneficiados </t>
  </si>
  <si>
    <t>Mantener en operación el  sistema comercial de la LNB</t>
  </si>
  <si>
    <t>Avance en la migración de base de datos del sistema comercial y sorteo LNB.</t>
  </si>
  <si>
    <t>% de avance de las actividades planificadas</t>
  </si>
  <si>
    <t>Avance en la migración de servidor de aplicaciones del sistema comercial y sorteo LNB.</t>
  </si>
  <si>
    <t>Avance en el reemplazo de equipo de almacenamiento SAN</t>
  </si>
  <si>
    <t>(Número intrusiones contenidas/ Números intentos de intrusión)*100</t>
  </si>
  <si>
    <t>GOT-0105</t>
  </si>
  <si>
    <t>(Número intentos de infección detenidos/Número total intentos de infección)*100</t>
  </si>
  <si>
    <t>Avance en la implementación del Sitio de contingencia  de TI</t>
  </si>
  <si>
    <t>Fortalecer la seguridad de la información de los sistemas LNB</t>
  </si>
  <si>
    <t>Automatizar  algunos procesos de las diferentes áreas</t>
  </si>
  <si>
    <t>Fortalecer el programa de Lotería en Acción.</t>
  </si>
  <si>
    <t>Número de Instituciones beneficiadas /número de instituciones programadas</t>
  </si>
  <si>
    <t>GOT-07</t>
  </si>
  <si>
    <t>GOT-0701</t>
  </si>
  <si>
    <t>Normativa autorizada</t>
  </si>
  <si>
    <t>Número de personas beneficiadas con nuevo proyecto.</t>
  </si>
  <si>
    <t>Número de instituciones beneficiadas  durante el 2018.</t>
  </si>
  <si>
    <t>Rentabilidad sobre la disponibilidad.</t>
  </si>
  <si>
    <t>100% de funcionamiento del sorteo.</t>
  </si>
  <si>
    <t>(# de horas operando/# de horas fuera de funcionamiento del sorteo)*100%</t>
  </si>
  <si>
    <t>Porcentaje de avance en la implementación del Sistema Institucional de Archivo (SIA)</t>
  </si>
  <si>
    <t>Mantener capacitado al personal durante 2018, mediante la ejecución del plan anual de  Capacitación continuo e inclusivo.</t>
  </si>
  <si>
    <t>Número de Capacitaciones ejecutadas</t>
  </si>
  <si>
    <t>Capacitaciones ejecutadas/ Capacitaciones Programadas</t>
  </si>
  <si>
    <t xml:space="preserve">Ejecutar  capacitación sobre  servicio público </t>
  </si>
  <si>
    <t>Capacitaciones ejecutadas</t>
  </si>
  <si>
    <t xml:space="preserve">Ejecutar un plan de acciones orientadas a llevar a  75%, el Índice de satisfacción  interno respecto a la práctica de Valores y el clima laboral </t>
  </si>
  <si>
    <t xml:space="preserve">Índice de Satisfacción </t>
  </si>
  <si>
    <t>Índice de satisfacción 2017 vrs. Índice de satisfacción 2018</t>
  </si>
  <si>
    <t xml:space="preserve">% de cumplimiento </t>
  </si>
  <si>
    <t>Realizar  campañas publicitarias que mejoren la imagen institucional.</t>
  </si>
  <si>
    <t xml:space="preserve">Número de  campañas  Publicitarias realizadas.    </t>
  </si>
  <si>
    <t>Fortalecer  el sistema de comunicación que contribuya a la promoción de la imagen Institucional</t>
  </si>
  <si>
    <t>Mejoras  a productos de Lotería Tradicional autorizados.</t>
  </si>
  <si>
    <t>#de juegos mejorados e implementada</t>
  </si>
  <si>
    <t>#de juegos mejorados e implementadas</t>
  </si>
  <si>
    <t>Número de   Campañas Publicitarias de LOTRA lanzadas.</t>
  </si>
  <si>
    <t>Número de estudios  realizados</t>
  </si>
  <si>
    <t>100%  de  venta mensual de libretas de LOTIN</t>
  </si>
  <si>
    <t>Realizar promociones para vendedores  para incentivar  las ventas</t>
  </si>
  <si>
    <t>Realizar  activaciones de productos en todo el territorio nacional orientadas a incentivar al consumidor final</t>
  </si>
  <si>
    <t>Número de nuevos Canales inaugurados</t>
  </si>
  <si>
    <t>Número de nuevas agencias inauguradas en el 2018</t>
  </si>
  <si>
    <t>Porcentaje de avance  en gestión realizadas.</t>
  </si>
  <si>
    <t>%Ejecutado/%
Programado)*100</t>
  </si>
  <si>
    <t>Porcentaje de avance en la implantación del sistema.</t>
  </si>
  <si>
    <t>--------</t>
  </si>
  <si>
    <t>Avance en la implementación de  Solución de firewall y auditoría de base de datos del sistema comercial y sorteo.</t>
  </si>
  <si>
    <t>Red perimetral y email  con 100% de efectividad contra ataques.</t>
  </si>
  <si>
    <t>70%   de Venta mensual de billetes de Lotería</t>
  </si>
  <si>
    <t>Avance en la sistematización de procesos de apoyo</t>
  </si>
  <si>
    <t>TRIMESTRE QUE SE INFORMA: JULIO-AGOSTO DE 2018</t>
  </si>
  <si>
    <t xml:space="preserve">Acumulado al:  A agosto 2018 </t>
  </si>
  <si>
    <t xml:space="preserve">Resultados: Julio-Agosto 2018 </t>
  </si>
  <si>
    <t xml:space="preserve">Programado Julio-Agosto 2018 </t>
  </si>
  <si>
    <t xml:space="preserve">Ejecutado Julio-Agosto 2018 </t>
  </si>
  <si>
    <t xml:space="preserve">Programado A agosto 2018 </t>
  </si>
  <si>
    <t xml:space="preserve">Ejecutado A agosto 2018 </t>
  </si>
  <si>
    <t>Indicador no programado en los meses de julio y agosto de 2018.</t>
  </si>
  <si>
    <t>0% de avance en este indicado</t>
  </si>
  <si>
    <t xml:space="preserve">No se efectuó examen al cumplimiento de la PAA 2018, debido a que el Jefe UFI no envió a esta unidad informe de Ahorros del segundo trimestre de abril a junio de 2018, el cual le fue solicitado a través de Memorándum AI-158/2018 de fecha 31-07-2018. </t>
  </si>
  <si>
    <t>Indicador cumplido en el segundo trimestre.</t>
  </si>
  <si>
    <t>Se ha monitoreado y controlado en un 100% los intentos de infección durante este trimestre.</t>
  </si>
  <si>
    <t>Se envió documento a través de memorándum GOT/DI/071/2018, lo cual ya se había reportado en el segundo trimestre de 2018. Esta pendiente el visto bueno a alguna de las alternativas planteadas.</t>
  </si>
  <si>
    <t>No se obtuvo la información por parte del área de Créditos.  
0% de avance al mes de agosto de 2018.</t>
  </si>
  <si>
    <t>Durante los meses de julio y agosto de 2018,   se obtuvo una participación ciudadana de  894  personas asistentes a los sorteos:
julio: 587 y
agosto: 307.</t>
  </si>
  <si>
    <t xml:space="preserve">Medidas de protección al patrimonio documental de la LNB (5 trasferencias documentales, Actas y detalle de la información), Reuniones de trabajo con el CID, elaboración del Índice  de Organismo, guía para elaborar  del Índice Legislativo, formatos para préstamos de documentos. Esta pendiente el equipamiento del Archivo Central (aires acondicionados, sillas ergonómicas, colocación de extintores, etc.; ya se realizaron las gestiones pertinentes). </t>
  </si>
  <si>
    <t>Se elaboró de Guía para organizar el FDA, formulación y aplicación de instrumentos de descripción, plan de trabajo para organizar el FDA.</t>
  </si>
  <si>
    <t>Aplicación de procesos archivísticos y elaboración de inventarios documentales que no tienen vigencia, contenido de 37 cajas con documentos originados en la UFI y DACI. Actividades de organización del FDA en el  Sub fondo documental de la DACI, documentos generados en los años 2008 y 2009, teniendo como resultado 39 unidades de instalación colocadas e identificadas en el depósito documental. Transferencias documentales de los archivos de gestión al archivo central.</t>
  </si>
  <si>
    <t>En los meses julio y agosto de 2018,  no se recibieron  quejas y denuncias ciudadanas.</t>
  </si>
  <si>
    <t>El informe fue autorizado por Junta Directiva en el mes de septiembre de 2018.</t>
  </si>
  <si>
    <t xml:space="preserve">Indicador no programado en  los meses de julio y agosto de 2018. </t>
  </si>
  <si>
    <t>Se desarrollaron  2 temas de capacitación de acuerdo con el plan: 
-Procesos de Compra Módulo Comprasal, 5 empleados de la UACI; y 
-Elaboración de Reglamento Interno 3 empleados de Recursos Humanos y Unidad Legal.  Se desarrollo además un tema adicional Postgrado en Adquisiciones Públicas a 1 empleado de la UACI.</t>
  </si>
  <si>
    <t>La UTL, no presentó el informe correspondiente  al segundo   trimestre y el informe de los meses de julio y agosto de 2018.</t>
  </si>
  <si>
    <t xml:space="preserve">No se obtuvo la información por parte de la UTL. </t>
  </si>
  <si>
    <t>Se informo de forma verbal a GOT de este objetivo de sistematizar el seguimiento y evaluación de la planificación  institucional.</t>
  </si>
  <si>
    <t>0% de avance en este indicador.</t>
  </si>
  <si>
    <t>Indicador no programado en los meses de julio y agosto.</t>
  </si>
  <si>
    <t>INFORME DE SEGUIMIENTO A OBJETIVOS E INDICADORES ESTRATÉGICOS, AÑO  2018</t>
  </si>
  <si>
    <t>Se presentaron para aprobación las nuevas estructuras de premios a Junta Directiva. LOTINAVIDAD, VACACIONES CON PISTO, OLLA DE LA SUERTE, FRUTAS RICA$ Y BINGO CASH II.</t>
  </si>
  <si>
    <t>Se realizo el brief publicitario para la nueva campaña comercial de LOTIN.</t>
  </si>
  <si>
    <t>Se elaboro un acta y se tomo nota de las peticiones hechas al titular de todo lo presentado por los agentes vendedores.</t>
  </si>
  <si>
    <t>0% de avance al mes de agosto de 2018.</t>
  </si>
  <si>
    <t>0% de avance de este indicador  al mes de agosto de 2018.</t>
  </si>
  <si>
    <t>No se ha podido participar debido a la falta de personal en Agencias.</t>
  </si>
  <si>
    <t>No se han tenido actividades de emprendedurismo debido a la falta de personal.</t>
  </si>
  <si>
    <t>De enero a  agosto se tiene una venta en LOTRA de  787,560  billetes equivalente al 51.14% de una emisión de 1,540,000 billetes.</t>
  </si>
  <si>
    <t>- Cuadro de normativa institucional (según la pirámide de Kelsen).
'- Cuadro de áreas organizativas (Según el organigrama vigente a la fecha y clasificado en las 4 secciones).
- Clasificador de ámbitos funcionales (Propuesta).
B. Documentos para la UGDA.
- Guía para organizar el fondo documental acumulado (autorizado, vigente desde el 20/08/2018).
Se remitió propuesta Instructivo y  procedimientos de fondo circulante  para revisión de Gerente de Operaciones en el mes de julio.</t>
  </si>
  <si>
    <t>Según informe, en los meses de abril  y agosto  la venta de LOTIN fue de 23,141 libretas que representa el 62.94% de una emisión de 60,000 libretas de los diferentes juegos.</t>
  </si>
  <si>
    <t>Se tiene en análisis la promoción para vendedores y se estima lanzar en fin de año.</t>
  </si>
  <si>
    <r>
      <rPr>
        <b/>
        <sz val="22"/>
        <rFont val="Arial"/>
        <family val="2"/>
      </rPr>
      <t>Agosto:</t>
    </r>
    <r>
      <rPr>
        <sz val="22"/>
        <rFont val="Arial"/>
        <family val="2"/>
      </rPr>
      <t xml:space="preserve">
1- C.C. La Joya No. 1;
2- C.C. La Joya No. 2;
3- Ministerio de Gobernación;
4- Plan Maestro MINED;
5- C.C. Las Cascadas;
6- R.N.P.N.
7- C.C. Unicentro AltaVista;
8- C.C. Unicentro Soyapango; 
9- M.A.G.</t>
    </r>
  </si>
  <si>
    <r>
      <t xml:space="preserve">1313 Francisco  Alejandro Portillo  Hernández. 
</t>
    </r>
    <r>
      <rPr>
        <b/>
        <sz val="22"/>
        <rFont val="Arial"/>
        <family val="2"/>
      </rPr>
      <t xml:space="preserve">Junio:  </t>
    </r>
    <r>
      <rPr>
        <sz val="22"/>
        <rFont val="Arial"/>
        <family val="2"/>
      </rPr>
      <t xml:space="preserve">                        
1314 Alba Petróleos de EL Salvador  S.E.M.  de C.V.;  1315 Tony Alberto Pérez;   1316 Sayra  Yamileth Hernández Menjivar; 1317 Iris Lissette García  García.</t>
    </r>
  </si>
  <si>
    <t>Se inicio operaciones de venta en el mes de julio con Alba Petróleo, como nuevo canal de ventas.</t>
  </si>
  <si>
    <t>Se realizaron 6 reuniones Informativas con agentes vendedores: San Salvador el 5 de julio, Sonsonate y Santa Ana, el 6 de julio, Zacatecoluca, Usulután y San Miguel el 13 de julio de 2018</t>
  </si>
  <si>
    <t xml:space="preserve">Las  acciones desarrolladas  en el período informado:
A fin de incentivar la práctica del compromiso para con la Institución, se remitió a  todo el personal mediante correo interno, el boletín sobre compromiso en el mes de julio. Se remitieron 2 felicitaciones en días especiales  del Archivista e Ingeniero y  23 reconocimientos en día de cumpleaños de los empleados. </t>
  </si>
  <si>
    <t>El programa fue suspendido temporalmente, en acuerdo autorizado por Junta Directiva acta 3021 del punto VIII.8.1 celebrada 3 de mayo de 2018. Se solicitará una reprogramación del objetivo para el 4to. trimestre.</t>
  </si>
  <si>
    <t>Programa autorizado el 06 de marzo 2018 en Punto IV.4.2 del Acta 3012.</t>
  </si>
  <si>
    <t>El avance de este indicador corresponde a un sondeo de mercado para evaluar las mecánicas y diseños; así como, nombre para los nuevos productos a producir.</t>
  </si>
  <si>
    <t>Se presentó el informe final, el cual servirá para respaldar la toma de decisiones sobre los nuevos productos.</t>
  </si>
  <si>
    <t>Al avance de este objetivo corresponde a las acciones siguientes:
-Se actualizo perfil del puesto, Instructivo y  procedimientos de fondo circulante. Apoyo al Comité de identificación documental (CID). Se elaboraron los siguientes formatos y documentos:
- Formato para Índice Legislativo y Repertorio de Tipos y Series documentales (#4, uno por cada sección).
- Indicaciones para elaborar el Índice Legislativo y Repertorio de tipos y series documentales.</t>
  </si>
  <si>
    <t>Según informe, en el período de abril a  agosto la venta de LOTRA fue de 490,170 billetes equivalente al 48.53% de una emisión de 1,010,000 billetes.</t>
  </si>
  <si>
    <t>Al mes de agosto se tiene un promedio de venta acumulado de el 75.60%.</t>
  </si>
  <si>
    <t>0% de avance en el período informado.</t>
  </si>
  <si>
    <r>
      <t xml:space="preserve">Se realizaron 18 activaciones en los puntos de ventas para impulsar las ventas:
</t>
    </r>
    <r>
      <rPr>
        <b/>
        <sz val="22"/>
        <rFont val="Arial"/>
        <family val="2"/>
      </rPr>
      <t>Julio</t>
    </r>
    <r>
      <rPr>
        <sz val="22"/>
        <rFont val="Arial"/>
        <family val="2"/>
      </rPr>
      <t>:
1- C.C. San Luis; 
2- C.C. Metrocentro, 4ª etapa;
3- C.C. Plaza Merliot, nivel 1;
4- C.C. Plaza Merliot, nivel 2;
5- C.C. Unicentro Metrópolis;
6- C.C. Galerías,  nivel 1;
7- C.C. Galerías,  nivel 2;
8- C.C. Las Palmas;
9- C.C. Santa Rosa.</t>
    </r>
  </si>
  <si>
    <t>Indicador no programado al mes de  agosto de 2018.</t>
  </si>
  <si>
    <t>El avance de las actividades corresponde a:
Se ha elaborado la propuesta del nuevo juego que se estima salga al mercado en el mes de octubre sustituyendo al Pozo de la Lotería; se realizaron los análisis pertinentes.</t>
  </si>
  <si>
    <t>Se ha tomado la decisión por lineamientos de la administración superior que se implemente un nuevo juego de LOTRA.</t>
  </si>
  <si>
    <t>Se estima que se lance en el mes de septiembre el primer producto de este juego.</t>
  </si>
  <si>
    <t>En  los meses de junio y julio se inauguraron 6 puntos de venta:
Junio
01-C.C. Plaza Centro, San Salvador
12-El Rosario, La Paz
14-C.C. Metrocentro, Santa Ana
Julio
05-Reapertura División Técnica y Científica P.N.C. (Nota: Fue cerrado el 05-Sept.-2018)</t>
  </si>
  <si>
    <r>
      <t xml:space="preserve">Se reclutaron 25 agentes vendedores, en el período de abril a agosto:
</t>
    </r>
    <r>
      <rPr>
        <b/>
        <sz val="22"/>
        <rFont val="Arial"/>
        <family val="2"/>
      </rPr>
      <t xml:space="preserve">Abril:
</t>
    </r>
    <r>
      <rPr>
        <sz val="22"/>
        <rFont val="Arial"/>
        <family val="2"/>
      </rPr>
      <t xml:space="preserve">1301 Antonia del Carmen  Alas Cartagena; 1302 Candelaria del Carmen Bonilla  Cruz;  1303 Sandra Verónica  Escobar  Sorto;              
</t>
    </r>
    <r>
      <rPr>
        <b/>
        <sz val="22"/>
        <rFont val="Arial"/>
        <family val="2"/>
      </rPr>
      <t>Mayo</t>
    </r>
    <r>
      <rPr>
        <sz val="22"/>
        <rFont val="Arial"/>
        <family val="2"/>
      </rPr>
      <t xml:space="preserve">:             
1305 Carlos Alberto  Monterrosa;                                    
1306 Víctor Candelario Calero;                                                 
1308 Lidio  Antonio  Fernández Alvarado; 1309 Manuel de Jesús  Medrano Ponce;  1310 Denis  Geovani  Menjivar Rosa;  1311 Raymundo  Alvarenga Bonilla; </t>
    </r>
  </si>
  <si>
    <r>
      <rPr>
        <b/>
        <sz val="22"/>
        <rFont val="Arial"/>
        <family val="2"/>
      </rPr>
      <t>Julio:</t>
    </r>
    <r>
      <rPr>
        <sz val="22"/>
        <rFont val="Arial"/>
        <family val="2"/>
      </rPr>
      <t xml:space="preserve">              
1318 Domingo  Monterola  Villanueva;                                                
1319 Francisco Martínez  Corvera;                                                
1320 José  García Peñate;                                                 
1321 Manuel de Jesús  Andino Méndez; 1322 Juan José Ramírez  Baires;          
</t>
    </r>
    <r>
      <rPr>
        <b/>
        <sz val="22"/>
        <rFont val="Arial"/>
        <family val="2"/>
      </rPr>
      <t>Agosto</t>
    </r>
    <r>
      <rPr>
        <sz val="22"/>
        <rFont val="Arial"/>
        <family val="2"/>
      </rPr>
      <t xml:space="preserve">:             
1323 Rosa  Elvira  Cortez  Valle;                                                 
1325 Jesús Roberto Melgar Gómez;                                                                                                
1327 Patrocinio Portillo;                                                 
1330 Daniel  de  Jesús  Mayorga Santos; </t>
    </r>
  </si>
  <si>
    <t xml:space="preserve">1331 José Raúl Reyes González;  1332 Francisco de Jesús  Recinos. </t>
  </si>
  <si>
    <t>indicador no programado en los meses de julio y agosto de 2018</t>
  </si>
  <si>
    <t>Actividades desarrolladas: 
Se tiene avance de negociaciones con el Banco Cuscatlán para hacer un convenio y poder reaperturar Agencia  Santa Rosa  de Lima 
Se tiene programado para la primera semana de septiembre aperturar al Sucursal la Esperanza en Col. Médica, San Salvador.</t>
  </si>
  <si>
    <t>0% de avance al mes de agosto en este objetivo.</t>
  </si>
  <si>
    <t>Se ha suspendido  las actividades de recolección de información en los buzones por falta de personal.</t>
  </si>
  <si>
    <r>
      <t xml:space="preserve">El avance corresponde al período de enero a agosto:
</t>
    </r>
    <r>
      <rPr>
        <b/>
        <sz val="22"/>
        <rFont val="Arial"/>
        <family val="2"/>
      </rPr>
      <t>Primer trimestre (% ejecutado 44%):</t>
    </r>
    <r>
      <rPr>
        <sz val="22"/>
        <rFont val="Arial"/>
        <family val="2"/>
      </rPr>
      <t xml:space="preserve"> se elaboraron estrategias con la parte de redes sociales, para fortalecer la comunicación externa con relación a los productos y al quehacer de la LNB. 
</t>
    </r>
    <r>
      <rPr>
        <b/>
        <sz val="22"/>
        <rFont val="Arial"/>
        <family val="2"/>
      </rPr>
      <t xml:space="preserve">Segundo trimestre (% ejecutado 18.60%): </t>
    </r>
    <r>
      <rPr>
        <sz val="22"/>
        <rFont val="Arial"/>
        <family val="2"/>
      </rPr>
      <t>Se desarrollo la estrategia  comercial para comunicar al público en general del pozo de la lotería.</t>
    </r>
  </si>
  <si>
    <r>
      <rPr>
        <b/>
        <sz val="22"/>
        <rFont val="Arial"/>
        <family val="2"/>
      </rPr>
      <t>Julio y Agosto  (% ejecutado 12%):</t>
    </r>
    <r>
      <rPr>
        <sz val="22"/>
        <rFont val="Arial"/>
        <family val="2"/>
      </rPr>
      <t xml:space="preserve">
Se realizó comunicación  a través de redes sociales, con la incorporación de pauta publicitaria en la plataforma de Facebook e Instagram.
El 75% de ejecutado que refleja en el informe de julio y agosto, corresponde  a los informes del primero, segundo trimestre y el informe de julio y agosto; ya que ha esta fecha  la Unidad de Comunicaciones no había presentado los informes de avance de metas. </t>
    </r>
  </si>
  <si>
    <t>Se realizó el lanzamiento de la campaña del 148 aniversario de la institución.</t>
  </si>
  <si>
    <t xml:space="preserve">Indicador no programado en los meses de julio y agosto de 2018. </t>
  </si>
  <si>
    <t>Se remitió propuesta a Presidencia que incluye la compra de este equipo. Por el momento se está a la espera de decisión de Presidencia para proceder con la requisición.</t>
  </si>
  <si>
    <t>Se remitió requisición y fue aprobada por Junta Directiva. 'Se está ejecutando proceso de adquisición de licencias y servicios profesionales de migración según oferta de compra N° 72 que se está llevando a cabo en BOLPROS.</t>
  </si>
  <si>
    <t>El sistema de bodega se finalizó y se puso en producción en el mes de agosto 2018. No se ha continuado con otros sistemas ya que se ha requerido a todo el recurso humano disponible para sacar adelante el proyecto de promociones de LOTRA y LOTIN.</t>
  </si>
  <si>
    <t>Se llevaron a cabo en el mes julio  reuniones en diferentes Agencias del país con vendedores de productos de lotería de los municipios de  San Salvador, Santa Ana, San Miguel, Sonsonate, Usulután, Zacatecoluca.</t>
  </si>
  <si>
    <t>11 días de tiempo promedio de respuesta a las solicitudes de la ciudadanía en los meses de julio y agosto de 2018.</t>
  </si>
  <si>
    <t>En los meses de julio y agosto de 2018, se recibieron  28 requerimiento: 17 para la Unidad de Acceso a la Información Pública, 7 requerimientos a la Unidad de Planeación Estratégica, Género y Medio Ambiente, 4  requerimientos para la Comisión de Ética de la LNB.</t>
  </si>
  <si>
    <t>Al 31 de agosto de 2018 se público un 80% de la Información oficiosa, pendiente de actualizar las actas de Junta Directiva desde 17 de abril  a agosto 2018, falta el POA 2018, actualizar los estándares: presupuestos, estados financieros, viajes y resolución de solicitudes.</t>
  </si>
  <si>
    <r>
      <t xml:space="preserve">El avance corresponde a:
</t>
    </r>
    <r>
      <rPr>
        <b/>
        <sz val="22"/>
        <rFont val="Arial"/>
        <family val="2"/>
      </rPr>
      <t xml:space="preserve">En el segundo trimestre, el 80%  de avance corresponde a: </t>
    </r>
    <r>
      <rPr>
        <sz val="22"/>
        <rFont val="Arial"/>
        <family val="2"/>
      </rPr>
      <t xml:space="preserve"> Se subió la información de comunicación en las diferentes plataformas Facebook, YouTube, Instagram, twitter, WhatsApp.</t>
    </r>
  </si>
  <si>
    <r>
      <rPr>
        <b/>
        <sz val="22"/>
        <rFont val="Arial"/>
        <family val="2"/>
      </rPr>
      <t xml:space="preserve">En los meses de julio y agosto el 20%  de avance corresponde a: </t>
    </r>
    <r>
      <rPr>
        <sz val="22"/>
        <rFont val="Arial"/>
        <family val="2"/>
      </rPr>
      <t xml:space="preserve">Se presentó  informe donde se ha  divulgado la información, sobre  espacios de participación ciudadana a través de nuestras redes sociales, Facebook, YouTube, twitter, Instagram, WhatsApp y en la página web. 
No obstante, el cumplimento de éste objetivo, la política de participación ciudadana, no considera las redes sociales como mecanismo de pc. </t>
    </r>
  </si>
  <si>
    <t xml:space="preserve">100% en  promedio de funcionamiento de los sorteos en los meses de julio y agosto de 2018. 
</t>
  </si>
  <si>
    <t>En los meses de julio a agosto de 2018 no se presentaron falla durante la realización de los sorteo.</t>
  </si>
  <si>
    <t xml:space="preserve">Se elaboró Guía para organizar el Fondo Documental Acumulado, elaboración y aplicación de instrumentos de descripción documental. Se capacitó al encargado de Archivo Central y las personas practicantes, se implementaron medidas de control de archivo central, revisión de documentos que transfieren los archivos de gestión. </t>
  </si>
  <si>
    <t>Indicador no programado  en los meses de julio y agosto de 2018.</t>
  </si>
  <si>
    <t>Se desarrollaron gestiones con CAPRES para ejecutar el tema, pero a al fecha no se ha concretizado. Por lo cual en el mes de octubre, Recursos Humanos desarrollará talleres con el personal, relacionados a la evaluación del desempeño en el Servicio Publico.</t>
  </si>
  <si>
    <t xml:space="preserve">Al mes de agosto  se tiene una utilidad de US$123,283.00. </t>
  </si>
  <si>
    <t>Se obtuvo una rentabilidad sobre los depósitos de US$69,972.00 correspondiente a los meses de  abril a agosto de 2018.</t>
  </si>
  <si>
    <t>Según informe, en el primer trimestre de 2018,  se obtuvo una pérdida de operación en LOTRA de -US$18,2849.00 y en el período de julio y agosto  fue de -US$95,774.00</t>
  </si>
  <si>
    <t>GCO-0702</t>
  </si>
  <si>
    <t>GCO-01103</t>
  </si>
  <si>
    <t>GCO-1102</t>
  </si>
  <si>
    <t>GCO-15</t>
  </si>
  <si>
    <t>GCO-1501</t>
  </si>
  <si>
    <t>GCO-16</t>
  </si>
  <si>
    <t>GCO-1601</t>
  </si>
  <si>
    <t>DINF-0102</t>
  </si>
  <si>
    <t>DINF-0101</t>
  </si>
  <si>
    <t>DINF-0103</t>
  </si>
  <si>
    <t>DINF-0104</t>
  </si>
  <si>
    <t>DINF-0105</t>
  </si>
  <si>
    <t>DINF-02</t>
  </si>
  <si>
    <t>DINF-0201</t>
  </si>
  <si>
    <t>DINF-03</t>
  </si>
  <si>
    <t>DINF-0301</t>
  </si>
  <si>
    <t>DINF-04</t>
  </si>
  <si>
    <t>DINF-0401</t>
  </si>
  <si>
    <t>GDI-0101</t>
  </si>
  <si>
    <t>GDI-01</t>
  </si>
  <si>
    <t>GDI-02</t>
  </si>
  <si>
    <t>GDI-0201</t>
  </si>
  <si>
    <t>GDI-03</t>
  </si>
  <si>
    <t>GDI-0301</t>
  </si>
  <si>
    <t>DINF-01</t>
  </si>
  <si>
    <t>GDI-04</t>
  </si>
  <si>
    <t>GDI-0401</t>
  </si>
  <si>
    <t>GDI-05</t>
  </si>
  <si>
    <t>GDI-0501</t>
  </si>
  <si>
    <t>PERÍODO QUE SE INFORMA: SEPTIEMBRE - DICIEMBRE DE 2018</t>
  </si>
  <si>
    <t>Seguimiento al POA 2018 sept. - dic. de 2018</t>
  </si>
  <si>
    <t xml:space="preserve">Resultados: septiembre -diciembre 2018 </t>
  </si>
  <si>
    <t xml:space="preserve">Acumulado al:  A diciembre 2018 </t>
  </si>
  <si>
    <t xml:space="preserve">Programado septiembre- diciembre 2018 </t>
  </si>
  <si>
    <t xml:space="preserve">Ejecutado septiembre- diciembre 2018 </t>
  </si>
  <si>
    <t xml:space="preserve">Programado A diciembre  2018 </t>
  </si>
  <si>
    <t xml:space="preserve">Ejecutado A diciembre  2018 </t>
  </si>
  <si>
    <t>GDI</t>
  </si>
  <si>
    <t>Depto. de Informática</t>
  </si>
  <si>
    <t>Número de promociones implementadas para Vendedores.</t>
  </si>
  <si>
    <t>Número de estudios  realizados.</t>
  </si>
  <si>
    <t>100%  de  venta mensual de libretas de LOTIN.</t>
  </si>
  <si>
    <t>Número de nuevos Canales inaugurados.</t>
  </si>
  <si>
    <t>Número de Nuevos puntos de venta abiertos.</t>
  </si>
  <si>
    <t>Número de nuevos agentes vendedores inscritos.</t>
  </si>
  <si>
    <t>Número de nuevas agencias inauguradas en el 2018.</t>
  </si>
  <si>
    <t>Número de acciones  ejecutadas.</t>
  </si>
  <si>
    <t>Porcentaje de avance  en la  implementación del sistema de comunicación interna y externa.</t>
  </si>
  <si>
    <t>Avance en el reemplazo de equipo de almacenamiento SAN.</t>
  </si>
  <si>
    <t>Efectividad contra infecciones a los sistemas de la LNB.</t>
  </si>
  <si>
    <t>Avance en la implementación del Sitio de contingencia  de TI.</t>
  </si>
  <si>
    <t>Avance en la sistematización de procesos de apoyo.</t>
  </si>
  <si>
    <t>Número de acciones ejecutadas.</t>
  </si>
  <si>
    <t>Número de reuniones efectuadas.</t>
  </si>
  <si>
    <t>Número de reuniones asistidas.</t>
  </si>
  <si>
    <t>Número de acciones realizadas.</t>
  </si>
  <si>
    <t>Número de Capacitaciones ejecutadas.</t>
  </si>
  <si>
    <t>Índice de Satisfacción.</t>
  </si>
  <si>
    <t>Desarrollar acciones  para dar a conocer  los juegos de azar.</t>
  </si>
  <si>
    <t>Ejecutar un plan de acciones orientadas a llevar a  75%, el Índice de satisfacción  interno respecto a la práctica de Valores y el clima laboral.</t>
  </si>
  <si>
    <t>Porcentaje de empleados capacitados.</t>
  </si>
  <si>
    <t>Administrar  la Gestión Documental y archivo de la LNB.</t>
  </si>
  <si>
    <t>Promover  el emprendedurismo  a través de la  venta de productos de lotería.</t>
  </si>
  <si>
    <t xml:space="preserve">Ejecutar  capacitación sobre  servicio público. </t>
  </si>
  <si>
    <t>Automatizar  algunos procesos de las diferentes áreas.</t>
  </si>
  <si>
    <t>Fortalecer la seguridad de la información de los sistemas LNB.</t>
  </si>
  <si>
    <t>Implementar sitio de contingencia de TI.</t>
  </si>
  <si>
    <t>Mantener en operación el  sistema comercial de la LNB.</t>
  </si>
  <si>
    <t>Sostenimiento de  puntos de ventas aperturados.</t>
  </si>
  <si>
    <t>Sostenimiento de Canales existentes.</t>
  </si>
  <si>
    <t>Ampliar la cobertura de puntos de venta en todo el país.</t>
  </si>
  <si>
    <t>Fortalecer  el sistema de comunicación que contribuya a la promoción de la imagen Institucional.</t>
  </si>
  <si>
    <t>Incrementar la fuerza de ventas.</t>
  </si>
  <si>
    <t>Realizar promociones para vendedores  para incentivar  las ventas.</t>
  </si>
  <si>
    <t>Realizar  activaciones de productos en todo el territorio nacional orientadas a incentivar al consumidor final.</t>
  </si>
  <si>
    <t>Número de consumidores potenciales convertidos a consumidor final.</t>
  </si>
  <si>
    <t>Percepción de la imagen de la ciudadanía.</t>
  </si>
  <si>
    <t>Porcentaje de  aceptación de  juegos de azar.</t>
  </si>
  <si>
    <t>Ahorro en costos operativos.</t>
  </si>
  <si>
    <t>Incremento de utilidades en relación al ejercicio anterior.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</si>
</sst>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0%"/>
    <numFmt numFmtId="166" formatCode="0.000"/>
  </numFmts>
  <fonts count="38" x14ac:knownFonts="1">
    <font>
      <sz val="11"/>
      <color theme="1"/>
      <name val="Calibri"/>
      <family val="2"/>
      <scheme val="minor"/>
    </font>
    <font>
      <sz val="11"/>
      <color theme="1"/>
      <name val="Calibri"/>
      <family val="2"/>
      <scheme val="minor"/>
    </font>
    <font>
      <sz val="11"/>
      <name val="Calibri"/>
      <family val="2"/>
    </font>
    <font>
      <b/>
      <sz val="17"/>
      <name val="Calibri"/>
      <family val="2"/>
    </font>
    <font>
      <b/>
      <sz val="18"/>
      <name val="Calibri"/>
      <family val="2"/>
    </font>
    <font>
      <b/>
      <sz val="16"/>
      <name val="Calibri"/>
      <family val="2"/>
    </font>
    <font>
      <b/>
      <sz val="14"/>
      <name val="Calibri"/>
      <family val="2"/>
    </font>
    <font>
      <b/>
      <sz val="16"/>
      <color theme="1"/>
      <name val="Calibri"/>
      <family val="2"/>
    </font>
    <font>
      <b/>
      <sz val="16"/>
      <name val="Calibri"/>
      <family val="2"/>
      <scheme val="minor"/>
    </font>
    <font>
      <b/>
      <sz val="14"/>
      <color theme="1"/>
      <name val="Calibri"/>
      <family val="2"/>
    </font>
    <font>
      <sz val="11"/>
      <color indexed="8"/>
      <name val="Calibri"/>
      <family val="2"/>
    </font>
    <font>
      <b/>
      <sz val="12"/>
      <name val="Calibri"/>
      <family val="2"/>
    </font>
    <font>
      <sz val="15"/>
      <name val="Arial"/>
      <family val="2"/>
    </font>
    <font>
      <b/>
      <sz val="13"/>
      <name val="Calibri"/>
      <family val="2"/>
    </font>
    <font>
      <sz val="15"/>
      <color rgb="FF0070C0"/>
      <name val="Arial"/>
      <family val="2"/>
    </font>
    <font>
      <b/>
      <sz val="20"/>
      <color indexed="81"/>
      <name val="Tahoma"/>
      <family val="2"/>
    </font>
    <font>
      <sz val="20"/>
      <color indexed="81"/>
      <name val="Tahoma"/>
      <family val="2"/>
    </font>
    <font>
      <b/>
      <sz val="18"/>
      <name val="Calibri"/>
      <family val="2"/>
      <scheme val="minor"/>
    </font>
    <font>
      <sz val="22"/>
      <name val="Calibri"/>
      <family val="2"/>
    </font>
    <font>
      <sz val="10"/>
      <name val="Arial"/>
      <family val="2"/>
    </font>
    <font>
      <sz val="11"/>
      <name val="Arial"/>
      <family val="2"/>
    </font>
    <font>
      <sz val="14"/>
      <name val="Arial"/>
      <family val="2"/>
    </font>
    <font>
      <sz val="16"/>
      <name val="Arial"/>
      <family val="2"/>
    </font>
    <font>
      <sz val="20"/>
      <name val="Arial"/>
      <family val="2"/>
    </font>
    <font>
      <sz val="19"/>
      <name val="Arial"/>
      <family val="2"/>
    </font>
    <font>
      <b/>
      <sz val="22"/>
      <name val="Arial"/>
      <family val="2"/>
    </font>
    <font>
      <b/>
      <sz val="10"/>
      <color theme="0"/>
      <name val="Arial"/>
      <family val="2"/>
    </font>
    <font>
      <sz val="22"/>
      <name val="Arial"/>
      <family val="2"/>
    </font>
    <font>
      <b/>
      <sz val="18"/>
      <color theme="1"/>
      <name val="Calibri"/>
      <family val="2"/>
    </font>
    <font>
      <sz val="9"/>
      <color indexed="81"/>
      <name val="Tahoma"/>
      <family val="2"/>
    </font>
    <font>
      <b/>
      <sz val="9"/>
      <color indexed="81"/>
      <name val="Tahoma"/>
      <family val="2"/>
    </font>
    <font>
      <b/>
      <sz val="10"/>
      <name val="Arial"/>
      <family val="2"/>
    </font>
    <font>
      <sz val="22"/>
      <color rgb="FFFF0000"/>
      <name val="Arial"/>
      <family val="2"/>
    </font>
    <font>
      <sz val="10"/>
      <color rgb="FFFF0000"/>
      <name val="Arial"/>
      <family val="2"/>
    </font>
    <font>
      <sz val="22"/>
      <color rgb="FF002060"/>
      <name val="Arial"/>
      <family val="2"/>
    </font>
    <font>
      <b/>
      <sz val="20"/>
      <name val="Arial"/>
      <family val="2"/>
    </font>
    <font>
      <sz val="11"/>
      <color rgb="FFFF0000"/>
      <name val="Arial"/>
      <family val="2"/>
    </font>
    <font>
      <b/>
      <sz val="22"/>
      <name val="Calibri"/>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249977111117893"/>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6">
    <xf numFmtId="0" fontId="0" fillId="0" borderId="0"/>
    <xf numFmtId="9" fontId="1"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4" fontId="1" fillId="0" borderId="0" applyFont="0" applyFill="0" applyBorder="0" applyAlignment="0" applyProtection="0"/>
    <xf numFmtId="0" fontId="19" fillId="0" borderId="0"/>
  </cellStyleXfs>
  <cellXfs count="405">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justify" vertical="center"/>
    </xf>
    <xf numFmtId="0" fontId="2" fillId="2" borderId="0" xfId="0" applyFont="1" applyFill="1" applyAlignment="1">
      <alignment textRotation="90"/>
    </xf>
    <xf numFmtId="0" fontId="2" fillId="2" borderId="0" xfId="0" applyFont="1" applyFill="1" applyAlignment="1">
      <alignment horizontal="center"/>
    </xf>
    <xf numFmtId="0" fontId="2" fillId="0" borderId="0" xfId="0" applyFont="1"/>
    <xf numFmtId="0" fontId="5" fillId="2" borderId="0" xfId="0" applyFont="1" applyFill="1" applyAlignment="1">
      <alignment horizontal="center" vertical="center" wrapText="1"/>
    </xf>
    <xf numFmtId="0" fontId="6" fillId="3"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9" fontId="12" fillId="2" borderId="0" xfId="0" applyNumberFormat="1" applyFont="1" applyFill="1" applyBorder="1" applyAlignment="1">
      <alignment horizontal="center" vertical="center" wrapText="1"/>
    </xf>
    <xf numFmtId="9" fontId="12" fillId="0" borderId="0" xfId="0" applyNumberFormat="1" applyFont="1" applyFill="1" applyBorder="1" applyAlignment="1">
      <alignment horizontal="center" vertical="center" wrapText="1"/>
    </xf>
    <xf numFmtId="2" fontId="12" fillId="0" borderId="0" xfId="0" applyNumberFormat="1" applyFont="1" applyFill="1" applyBorder="1" applyAlignment="1">
      <alignment horizontal="center" vertical="center" wrapText="1"/>
    </xf>
    <xf numFmtId="49" fontId="12" fillId="0" borderId="9" xfId="3"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9" fontId="14" fillId="2" borderId="0" xfId="0" applyNumberFormat="1" applyFont="1" applyFill="1" applyBorder="1" applyAlignment="1">
      <alignment horizontal="center" vertical="center" wrapText="1"/>
    </xf>
    <xf numFmtId="9" fontId="14" fillId="0" borderId="0" xfId="0" applyNumberFormat="1" applyFont="1" applyFill="1" applyBorder="1" applyAlignment="1">
      <alignment horizontal="center" vertical="center" wrapText="1"/>
    </xf>
    <xf numFmtId="9" fontId="12" fillId="2" borderId="0" xfId="3" applyFont="1" applyFill="1" applyBorder="1" applyAlignment="1">
      <alignment horizontal="center" vertical="center" wrapText="1"/>
    </xf>
    <xf numFmtId="9" fontId="12" fillId="0" borderId="0" xfId="3" applyFont="1" applyFill="1" applyBorder="1" applyAlignment="1">
      <alignment horizontal="center" vertical="center" wrapText="1"/>
    </xf>
    <xf numFmtId="9" fontId="14" fillId="2" borderId="0" xfId="3" applyFont="1" applyFill="1" applyBorder="1" applyAlignment="1">
      <alignment horizontal="center" vertical="center" wrapText="1"/>
    </xf>
    <xf numFmtId="9" fontId="14" fillId="0" borderId="0" xfId="3" applyFont="1" applyFill="1" applyBorder="1" applyAlignment="1">
      <alignment horizontal="center" vertical="center" wrapText="1"/>
    </xf>
    <xf numFmtId="0" fontId="2" fillId="2" borderId="0" xfId="0" quotePrefix="1" applyFont="1" applyFill="1"/>
    <xf numFmtId="9" fontId="2" fillId="2" borderId="0" xfId="0" applyNumberFormat="1" applyFont="1" applyFill="1" applyBorder="1" applyAlignment="1">
      <alignment horizontal="center" vertical="top" wrapText="1"/>
    </xf>
    <xf numFmtId="165" fontId="2" fillId="2" borderId="0" xfId="0" applyNumberFormat="1" applyFont="1" applyFill="1" applyAlignment="1"/>
    <xf numFmtId="0" fontId="3" fillId="0" borderId="0" xfId="0" applyFont="1"/>
    <xf numFmtId="0" fontId="2" fillId="0" borderId="0" xfId="0" applyFont="1" applyAlignment="1">
      <alignment horizontal="justify" vertical="center"/>
    </xf>
    <xf numFmtId="0" fontId="2" fillId="0" borderId="0" xfId="0" applyFont="1" applyAlignment="1">
      <alignment textRotation="90"/>
    </xf>
    <xf numFmtId="0" fontId="2" fillId="0" borderId="0" xfId="0" applyFont="1" applyAlignment="1">
      <alignment horizontal="center"/>
    </xf>
    <xf numFmtId="9" fontId="23" fillId="0" borderId="9" xfId="0" applyNumberFormat="1" applyFont="1" applyFill="1" applyBorder="1" applyAlignment="1">
      <alignment horizontal="justify" vertical="center" wrapText="1"/>
    </xf>
    <xf numFmtId="9" fontId="23" fillId="0" borderId="9" xfId="0" applyNumberFormat="1" applyFont="1" applyFill="1" applyBorder="1" applyAlignment="1">
      <alignment horizontal="center" vertical="center" wrapText="1"/>
    </xf>
    <xf numFmtId="9" fontId="23" fillId="2" borderId="9" xfId="0" applyNumberFormat="1" applyFont="1" applyFill="1" applyBorder="1" applyAlignment="1">
      <alignment horizontal="center" vertical="center" wrapText="1"/>
    </xf>
    <xf numFmtId="1" fontId="23" fillId="0" borderId="9" xfId="0" applyNumberFormat="1" applyFont="1" applyFill="1" applyBorder="1" applyAlignment="1">
      <alignment horizontal="center" vertical="center" wrapText="1"/>
    </xf>
    <xf numFmtId="3" fontId="23" fillId="0" borderId="9" xfId="0" applyNumberFormat="1" applyFont="1" applyFill="1" applyBorder="1" applyAlignment="1">
      <alignment horizontal="center" vertical="center" wrapText="1"/>
    </xf>
    <xf numFmtId="9" fontId="23" fillId="2" borderId="9" xfId="0" applyNumberFormat="1" applyFont="1" applyFill="1" applyBorder="1" applyAlignment="1">
      <alignment horizontal="justify" vertical="center" wrapText="1"/>
    </xf>
    <xf numFmtId="9" fontId="23" fillId="0" borderId="9" xfId="1" applyFont="1" applyFill="1" applyBorder="1" applyAlignment="1">
      <alignment horizontal="center" vertical="center" wrapText="1"/>
    </xf>
    <xf numFmtId="1" fontId="23" fillId="0" borderId="9" xfId="1" applyNumberFormat="1" applyFont="1" applyFill="1" applyBorder="1" applyAlignment="1">
      <alignment horizontal="center" vertical="center" wrapText="1"/>
    </xf>
    <xf numFmtId="9" fontId="23" fillId="0" borderId="9" xfId="3" applyFont="1" applyFill="1" applyBorder="1" applyAlignment="1">
      <alignment horizontal="justify" vertical="center" wrapText="1"/>
    </xf>
    <xf numFmtId="9" fontId="23" fillId="0" borderId="9" xfId="3" applyFont="1" applyFill="1" applyBorder="1" applyAlignment="1">
      <alignment horizontal="center" vertical="center" wrapText="1"/>
    </xf>
    <xf numFmtId="1" fontId="23" fillId="0" borderId="9" xfId="3" applyNumberFormat="1" applyFont="1" applyFill="1" applyBorder="1" applyAlignment="1">
      <alignment horizontal="center" vertical="center" wrapText="1"/>
    </xf>
    <xf numFmtId="9" fontId="22" fillId="0" borderId="9" xfId="0" applyNumberFormat="1" applyFont="1" applyFill="1" applyBorder="1" applyAlignment="1">
      <alignment horizontal="center" vertical="center" wrapText="1"/>
    </xf>
    <xf numFmtId="9" fontId="22" fillId="2" borderId="9" xfId="0" applyNumberFormat="1" applyFont="1" applyFill="1" applyBorder="1" applyAlignment="1">
      <alignment horizontal="center" vertical="center" wrapText="1"/>
    </xf>
    <xf numFmtId="9" fontId="22" fillId="0" borderId="9" xfId="3" applyFont="1" applyFill="1" applyBorder="1" applyAlignment="1">
      <alignment horizontal="center" vertical="center" wrapText="1"/>
    </xf>
    <xf numFmtId="0" fontId="23" fillId="0" borderId="9" xfId="0" applyFont="1" applyFill="1" applyBorder="1" applyAlignment="1">
      <alignment horizontal="justify" vertical="center" wrapText="1"/>
    </xf>
    <xf numFmtId="0" fontId="23" fillId="2" borderId="9" xfId="0" applyFont="1" applyFill="1" applyBorder="1" applyAlignment="1">
      <alignment horizontal="justify" vertical="center" wrapText="1"/>
    </xf>
    <xf numFmtId="9" fontId="24" fillId="0" borderId="9" xfId="0" applyNumberFormat="1" applyFont="1" applyFill="1" applyBorder="1" applyAlignment="1">
      <alignment horizontal="center" vertical="center" wrapText="1"/>
    </xf>
    <xf numFmtId="10" fontId="25" fillId="0" borderId="22" xfId="1" applyNumberFormat="1" applyFont="1" applyBorder="1" applyAlignment="1" applyProtection="1">
      <alignment horizontal="center" vertical="center" wrapText="1"/>
    </xf>
    <xf numFmtId="10" fontId="25" fillId="0" borderId="9" xfId="1" applyNumberFormat="1" applyFont="1" applyBorder="1" applyAlignment="1" applyProtection="1">
      <alignment horizontal="center" vertical="center" wrapText="1"/>
    </xf>
    <xf numFmtId="0" fontId="19" fillId="0" borderId="0" xfId="5"/>
    <xf numFmtId="0" fontId="26" fillId="4" borderId="24" xfId="5" applyFont="1" applyFill="1" applyBorder="1" applyAlignment="1">
      <alignment horizontal="center" vertical="center"/>
    </xf>
    <xf numFmtId="0" fontId="26" fillId="4" borderId="25" xfId="5" applyFont="1" applyFill="1" applyBorder="1" applyAlignment="1">
      <alignment horizontal="center" vertical="center"/>
    </xf>
    <xf numFmtId="0" fontId="26" fillId="4" borderId="22" xfId="5" applyFont="1" applyFill="1" applyBorder="1" applyAlignment="1">
      <alignment horizontal="center" vertical="center" wrapText="1"/>
    </xf>
    <xf numFmtId="0" fontId="20" fillId="0" borderId="26" xfId="5" applyFont="1" applyBorder="1" applyAlignment="1">
      <alignment horizontal="center"/>
    </xf>
    <xf numFmtId="0" fontId="20" fillId="0" borderId="23" xfId="5" applyFont="1" applyBorder="1"/>
    <xf numFmtId="10" fontId="20" fillId="2" borderId="28" xfId="1" applyNumberFormat="1" applyFont="1" applyFill="1" applyBorder="1" applyAlignment="1" applyProtection="1">
      <alignment horizontal="center" vertical="center" wrapText="1"/>
    </xf>
    <xf numFmtId="0" fontId="20" fillId="0" borderId="29" xfId="5" applyFont="1" applyBorder="1"/>
    <xf numFmtId="10" fontId="19" fillId="0" borderId="0" xfId="5" applyNumberFormat="1"/>
    <xf numFmtId="0" fontId="19" fillId="2" borderId="0" xfId="5" applyFill="1"/>
    <xf numFmtId="10" fontId="20" fillId="2" borderId="10" xfId="1" applyNumberFormat="1" applyFont="1" applyFill="1" applyBorder="1" applyAlignment="1" applyProtection="1">
      <alignment horizontal="center" vertical="center" wrapText="1"/>
    </xf>
    <xf numFmtId="10" fontId="20" fillId="2" borderId="8" xfId="1" applyNumberFormat="1" applyFont="1" applyFill="1" applyBorder="1" applyAlignment="1" applyProtection="1">
      <alignment horizontal="center" vertical="center" wrapText="1"/>
    </xf>
    <xf numFmtId="9" fontId="22" fillId="2" borderId="9" xfId="0" applyNumberFormat="1" applyFont="1" applyFill="1" applyBorder="1" applyAlignment="1">
      <alignment vertical="center" wrapText="1"/>
    </xf>
    <xf numFmtId="9" fontId="22" fillId="2" borderId="9" xfId="3" applyFont="1" applyFill="1" applyBorder="1" applyAlignment="1">
      <alignment horizontal="center" vertical="center" wrapText="1"/>
    </xf>
    <xf numFmtId="0" fontId="7" fillId="5" borderId="9"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7" fillId="5" borderId="9" xfId="0" applyFont="1" applyFill="1" applyBorder="1" applyAlignment="1">
      <alignment horizontal="center" vertical="center" wrapText="1"/>
    </xf>
    <xf numFmtId="44" fontId="23" fillId="0" borderId="9" xfId="4" applyFont="1" applyFill="1" applyBorder="1" applyAlignment="1">
      <alignment horizontal="center" vertical="center" wrapText="1"/>
    </xf>
    <xf numFmtId="44" fontId="23" fillId="2" borderId="9" xfId="4" applyFont="1" applyFill="1" applyBorder="1" applyAlignment="1">
      <alignment horizontal="center" vertical="center" wrapText="1"/>
    </xf>
    <xf numFmtId="0" fontId="28" fillId="5" borderId="9" xfId="0" applyFont="1" applyFill="1" applyBorder="1" applyAlignment="1">
      <alignment horizontal="center" vertical="center" wrapText="1"/>
    </xf>
    <xf numFmtId="49" fontId="22" fillId="0" borderId="9" xfId="3" applyNumberFormat="1" applyFont="1" applyFill="1" applyBorder="1" applyAlignment="1">
      <alignment horizontal="center" vertical="center" wrapText="1"/>
    </xf>
    <xf numFmtId="49" fontId="22" fillId="0" borderId="9"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2" fillId="2" borderId="9" xfId="0" applyNumberFormat="1" applyFont="1" applyFill="1" applyBorder="1" applyAlignment="1">
      <alignment horizontal="center" vertical="center" wrapText="1"/>
    </xf>
    <xf numFmtId="166" fontId="2" fillId="2" borderId="0" xfId="0" applyNumberFormat="1" applyFont="1" applyFill="1"/>
    <xf numFmtId="166" fontId="2" fillId="0" borderId="0" xfId="0" applyNumberFormat="1" applyFont="1"/>
    <xf numFmtId="165" fontId="23" fillId="2" borderId="9" xfId="0" applyNumberFormat="1" applyFont="1" applyFill="1" applyBorder="1" applyAlignment="1">
      <alignment horizontal="center" vertical="center" wrapText="1"/>
    </xf>
    <xf numFmtId="10" fontId="23" fillId="0" borderId="9" xfId="0" applyNumberFormat="1" applyFont="1" applyFill="1" applyBorder="1" applyAlignment="1">
      <alignment horizontal="center" vertical="center" wrapText="1"/>
    </xf>
    <xf numFmtId="9" fontId="14" fillId="0" borderId="0" xfId="0" applyNumberFormat="1" applyFont="1" applyFill="1" applyBorder="1" applyAlignment="1">
      <alignment horizontal="left" vertical="center"/>
    </xf>
    <xf numFmtId="10" fontId="19" fillId="0" borderId="0" xfId="1" applyNumberFormat="1" applyFont="1"/>
    <xf numFmtId="10" fontId="19" fillId="0" borderId="0" xfId="5" applyNumberFormat="1" applyAlignment="1">
      <alignment horizontal="center"/>
    </xf>
    <xf numFmtId="0" fontId="20" fillId="2" borderId="0" xfId="5" applyFont="1" applyFill="1" applyBorder="1" applyAlignment="1">
      <alignment horizontal="center"/>
    </xf>
    <xf numFmtId="0" fontId="20" fillId="2" borderId="0" xfId="5" applyFont="1" applyFill="1" applyBorder="1"/>
    <xf numFmtId="10" fontId="20" fillId="2" borderId="0" xfId="5" applyNumberFormat="1" applyFont="1" applyFill="1" applyBorder="1" applyAlignment="1">
      <alignment horizontal="center" vertical="center"/>
    </xf>
    <xf numFmtId="10" fontId="20" fillId="2" borderId="0" xfId="1" applyNumberFormat="1" applyFont="1" applyFill="1" applyBorder="1" applyAlignment="1">
      <alignment horizontal="center" vertical="center"/>
    </xf>
    <xf numFmtId="10" fontId="23" fillId="2" borderId="9" xfId="0" applyNumberFormat="1" applyFont="1" applyFill="1" applyBorder="1" applyAlignment="1">
      <alignment horizontal="center" vertical="center" wrapText="1"/>
    </xf>
    <xf numFmtId="165" fontId="23" fillId="0" borderId="9" xfId="0" applyNumberFormat="1" applyFont="1" applyFill="1" applyBorder="1" applyAlignment="1">
      <alignment horizontal="center" vertical="center" wrapText="1"/>
    </xf>
    <xf numFmtId="9" fontId="25" fillId="0" borderId="22" xfId="1" applyNumberFormat="1" applyFont="1" applyBorder="1" applyAlignment="1" applyProtection="1">
      <alignment horizontal="center" vertical="center" wrapText="1"/>
    </xf>
    <xf numFmtId="165" fontId="23" fillId="0" borderId="9" xfId="1" applyNumberFormat="1" applyFont="1" applyFill="1" applyBorder="1" applyAlignment="1">
      <alignment horizontal="center" vertical="center" wrapText="1"/>
    </xf>
    <xf numFmtId="10" fontId="23" fillId="0" borderId="9" xfId="1" applyNumberFormat="1" applyFont="1" applyFill="1" applyBorder="1" applyAlignment="1">
      <alignment horizontal="center" vertical="center" wrapText="1"/>
    </xf>
    <xf numFmtId="44" fontId="12" fillId="0" borderId="0" xfId="0" applyNumberFormat="1" applyFont="1" applyFill="1" applyBorder="1" applyAlignment="1">
      <alignment horizontal="center" vertical="center" wrapText="1"/>
    </xf>
    <xf numFmtId="44" fontId="23" fillId="0" borderId="9" xfId="4" applyNumberFormat="1" applyFont="1" applyFill="1" applyBorder="1" applyAlignment="1">
      <alignment horizontal="center" vertical="center" wrapText="1"/>
    </xf>
    <xf numFmtId="0" fontId="31" fillId="2" borderId="0" xfId="5" applyFont="1" applyFill="1" applyAlignment="1">
      <alignment horizontal="right"/>
    </xf>
    <xf numFmtId="44" fontId="23" fillId="0" borderId="4" xfId="4" applyFont="1" applyFill="1" applyBorder="1" applyAlignment="1">
      <alignment vertical="center" wrapText="1"/>
    </xf>
    <xf numFmtId="0" fontId="12" fillId="0" borderId="4" xfId="0" applyFont="1" applyFill="1" applyBorder="1" applyAlignment="1">
      <alignment vertical="center" wrapText="1"/>
    </xf>
    <xf numFmtId="0" fontId="23" fillId="0" borderId="4" xfId="0" applyFont="1" applyFill="1" applyBorder="1" applyAlignment="1">
      <alignment vertical="center" wrapText="1"/>
    </xf>
    <xf numFmtId="9" fontId="22" fillId="0" borderId="4" xfId="3" applyFont="1" applyFill="1" applyBorder="1" applyAlignment="1">
      <alignment vertical="center" textRotation="90" wrapText="1"/>
    </xf>
    <xf numFmtId="49" fontId="22" fillId="0" borderId="4" xfId="3" applyNumberFormat="1" applyFont="1" applyFill="1" applyBorder="1" applyAlignment="1">
      <alignment vertical="center" wrapText="1"/>
    </xf>
    <xf numFmtId="9" fontId="22" fillId="0" borderId="4" xfId="0" applyNumberFormat="1" applyFont="1" applyFill="1" applyBorder="1" applyAlignment="1">
      <alignment vertical="center" wrapText="1"/>
    </xf>
    <xf numFmtId="9" fontId="23" fillId="0" borderId="4" xfId="0" applyNumberFormat="1" applyFont="1" applyFill="1" applyBorder="1" applyAlignment="1">
      <alignment vertical="center" wrapText="1"/>
    </xf>
    <xf numFmtId="9" fontId="22" fillId="0" borderId="9" xfId="0" applyNumberFormat="1" applyFont="1" applyFill="1" applyBorder="1" applyAlignment="1">
      <alignment vertical="center" wrapText="1"/>
    </xf>
    <xf numFmtId="49" fontId="12" fillId="0" borderId="9" xfId="3" applyNumberFormat="1" applyFont="1" applyFill="1" applyBorder="1" applyAlignment="1">
      <alignment vertical="center" wrapText="1"/>
    </xf>
    <xf numFmtId="0" fontId="23" fillId="0" borderId="9" xfId="0" applyFont="1" applyFill="1" applyBorder="1" applyAlignment="1">
      <alignment vertical="center" wrapText="1"/>
    </xf>
    <xf numFmtId="49" fontId="22" fillId="0" borderId="9" xfId="3" applyNumberFormat="1" applyFont="1" applyFill="1" applyBorder="1" applyAlignment="1">
      <alignment vertical="center" wrapText="1"/>
    </xf>
    <xf numFmtId="165" fontId="25" fillId="0" borderId="22" xfId="1" applyNumberFormat="1" applyFont="1" applyBorder="1" applyAlignment="1" applyProtection="1">
      <alignment horizontal="center" vertical="center" wrapText="1"/>
    </xf>
    <xf numFmtId="9" fontId="23" fillId="0" borderId="8" xfId="1" applyNumberFormat="1" applyFont="1" applyFill="1" applyBorder="1" applyAlignment="1">
      <alignment horizontal="center" vertical="center" wrapText="1"/>
    </xf>
    <xf numFmtId="9" fontId="32" fillId="0" borderId="9" xfId="0" quotePrefix="1" applyNumberFormat="1" applyFont="1" applyFill="1" applyBorder="1" applyAlignment="1">
      <alignment horizontal="justify" vertical="center" wrapText="1"/>
    </xf>
    <xf numFmtId="9" fontId="27" fillId="2" borderId="9" xfId="0" quotePrefix="1" applyNumberFormat="1" applyFont="1" applyFill="1" applyBorder="1" applyAlignment="1" applyProtection="1">
      <alignment horizontal="justify" vertical="center" wrapText="1"/>
    </xf>
    <xf numFmtId="1" fontId="27" fillId="0" borderId="9" xfId="0" applyNumberFormat="1" applyFont="1" applyFill="1" applyBorder="1" applyAlignment="1">
      <alignment horizontal="justify" vertical="center" wrapText="1"/>
    </xf>
    <xf numFmtId="9" fontId="27" fillId="0" borderId="9" xfId="0" quotePrefix="1" applyNumberFormat="1" applyFont="1" applyFill="1" applyBorder="1" applyAlignment="1">
      <alignment horizontal="center" vertical="center" wrapText="1"/>
    </xf>
    <xf numFmtId="2" fontId="23" fillId="0" borderId="9" xfId="0" applyNumberFormat="1" applyFont="1" applyFill="1" applyBorder="1" applyAlignment="1">
      <alignment horizontal="center" vertical="center" wrapText="1"/>
    </xf>
    <xf numFmtId="9" fontId="27" fillId="0" borderId="9" xfId="1" applyFont="1" applyFill="1" applyBorder="1" applyAlignment="1">
      <alignment horizontal="justify" vertical="center" wrapText="1"/>
    </xf>
    <xf numFmtId="9" fontId="27" fillId="0" borderId="9" xfId="0" applyNumberFormat="1" applyFont="1" applyFill="1" applyBorder="1" applyAlignment="1">
      <alignment horizontal="justify" vertical="center" wrapText="1"/>
    </xf>
    <xf numFmtId="9" fontId="27" fillId="0" borderId="9" xfId="0" quotePrefix="1" applyNumberFormat="1" applyFont="1" applyFill="1" applyBorder="1" applyAlignment="1">
      <alignment horizontal="justify" vertical="center" wrapText="1"/>
    </xf>
    <xf numFmtId="1" fontId="27" fillId="0" borderId="9" xfId="3" applyNumberFormat="1" applyFont="1" applyFill="1" applyBorder="1" applyAlignment="1">
      <alignment horizontal="justify" vertical="center" wrapText="1"/>
    </xf>
    <xf numFmtId="9" fontId="27" fillId="2" borderId="9" xfId="0" applyNumberFormat="1" applyFont="1" applyFill="1" applyBorder="1" applyAlignment="1">
      <alignment horizontal="justify" vertical="center" wrapText="1"/>
    </xf>
    <xf numFmtId="49" fontId="27" fillId="0" borderId="9" xfId="0" quotePrefix="1" applyNumberFormat="1" applyFont="1" applyFill="1" applyBorder="1" applyAlignment="1">
      <alignment horizontal="justify" vertical="center" wrapText="1"/>
    </xf>
    <xf numFmtId="9" fontId="27" fillId="0" borderId="8" xfId="0" quotePrefix="1" applyNumberFormat="1" applyFont="1" applyFill="1" applyBorder="1" applyAlignment="1">
      <alignment horizontal="center" vertical="center" wrapText="1"/>
    </xf>
    <xf numFmtId="1" fontId="27" fillId="0" borderId="9" xfId="1" applyNumberFormat="1" applyFont="1" applyFill="1" applyBorder="1" applyAlignment="1">
      <alignment horizontal="justify" vertical="center" wrapText="1"/>
    </xf>
    <xf numFmtId="9" fontId="27" fillId="0" borderId="4" xfId="0" quotePrefix="1" applyNumberFormat="1" applyFont="1" applyFill="1" applyBorder="1" applyAlignment="1">
      <alignment horizontal="center" vertical="center" wrapText="1"/>
    </xf>
    <xf numFmtId="49" fontId="27" fillId="0" borderId="9" xfId="1" applyNumberFormat="1" applyFont="1" applyFill="1" applyBorder="1" applyAlignment="1">
      <alignment horizontal="justify" vertical="center" wrapText="1"/>
    </xf>
    <xf numFmtId="49" fontId="27" fillId="0" borderId="8" xfId="0" quotePrefix="1" applyNumberFormat="1" applyFont="1" applyFill="1" applyBorder="1" applyAlignment="1">
      <alignment horizontal="justify" vertical="center" wrapText="1"/>
    </xf>
    <xf numFmtId="1" fontId="34" fillId="0" borderId="9" xfId="0" applyNumberFormat="1" applyFont="1" applyFill="1" applyBorder="1" applyAlignment="1">
      <alignment horizontal="justify" vertical="center" wrapText="1"/>
    </xf>
    <xf numFmtId="9" fontId="34" fillId="0" borderId="9" xfId="0" quotePrefix="1" applyNumberFormat="1" applyFont="1" applyFill="1" applyBorder="1" applyAlignment="1">
      <alignment horizontal="center" vertical="center" wrapText="1"/>
    </xf>
    <xf numFmtId="9" fontId="34" fillId="0" borderId="9" xfId="0" applyNumberFormat="1" applyFont="1" applyFill="1" applyBorder="1" applyAlignment="1">
      <alignment horizontal="justify" vertical="center" wrapText="1"/>
    </xf>
    <xf numFmtId="9" fontId="34" fillId="0" borderId="9" xfId="0" quotePrefix="1" applyNumberFormat="1" applyFont="1" applyFill="1" applyBorder="1" applyAlignment="1">
      <alignment horizontal="justify" vertical="center" wrapText="1"/>
    </xf>
    <xf numFmtId="3" fontId="27" fillId="0" borderId="9" xfId="1" applyNumberFormat="1" applyFont="1" applyFill="1" applyBorder="1" applyAlignment="1">
      <alignment horizontal="justify" vertical="center" wrapText="1"/>
    </xf>
    <xf numFmtId="9" fontId="27" fillId="0" borderId="4" xfId="0" quotePrefix="1" applyNumberFormat="1" applyFont="1" applyFill="1" applyBorder="1" applyAlignment="1">
      <alignment vertical="center" wrapText="1"/>
    </xf>
    <xf numFmtId="9" fontId="27" fillId="0" borderId="10" xfId="0" quotePrefix="1" applyNumberFormat="1" applyFont="1" applyFill="1" applyBorder="1" applyAlignment="1">
      <alignment vertical="center" wrapText="1"/>
    </xf>
    <xf numFmtId="9" fontId="27" fillId="0" borderId="8" xfId="0" quotePrefix="1" applyNumberFormat="1" applyFont="1" applyFill="1" applyBorder="1" applyAlignment="1">
      <alignment vertical="center" wrapText="1"/>
    </xf>
    <xf numFmtId="9" fontId="27" fillId="0" borderId="10" xfId="0" quotePrefix="1" applyNumberFormat="1" applyFont="1" applyFill="1" applyBorder="1" applyAlignment="1">
      <alignment horizontal="center" vertical="center" wrapText="1"/>
    </xf>
    <xf numFmtId="9" fontId="27" fillId="0" borderId="9" xfId="0" quotePrefix="1" applyNumberFormat="1" applyFont="1" applyFill="1" applyBorder="1" applyAlignment="1">
      <alignment vertical="center" wrapText="1"/>
    </xf>
    <xf numFmtId="3" fontId="2" fillId="2" borderId="0" xfId="0" applyNumberFormat="1" applyFont="1" applyFill="1"/>
    <xf numFmtId="10" fontId="2" fillId="0" borderId="0" xfId="1" applyNumberFormat="1" applyFont="1"/>
    <xf numFmtId="9" fontId="27" fillId="0" borderId="8" xfId="0" quotePrefix="1" applyNumberFormat="1" applyFont="1" applyFill="1" applyBorder="1" applyAlignment="1">
      <alignment vertical="top" wrapText="1"/>
    </xf>
    <xf numFmtId="0" fontId="3" fillId="2" borderId="15" xfId="0" applyFont="1" applyFill="1" applyBorder="1" applyAlignment="1">
      <alignment horizontal="center" vertical="center" textRotation="90"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2" fillId="0" borderId="10"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0" fontId="8" fillId="5" borderId="4" xfId="0" applyFont="1" applyFill="1" applyBorder="1" applyAlignment="1">
      <alignment horizontal="center" vertical="center" wrapText="1"/>
    </xf>
    <xf numFmtId="0" fontId="17" fillId="5" borderId="5" xfId="0"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textRotation="90" wrapText="1"/>
    </xf>
    <xf numFmtId="9" fontId="22" fillId="2" borderId="8" xfId="0" applyNumberFormat="1" applyFont="1" applyFill="1" applyBorder="1" applyAlignment="1">
      <alignment horizontal="center" vertical="center" wrapText="1"/>
    </xf>
    <xf numFmtId="9" fontId="22" fillId="0" borderId="4"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1" fontId="27" fillId="0" borderId="4" xfId="0" applyNumberFormat="1" applyFont="1" applyFill="1" applyBorder="1" applyAlignment="1">
      <alignment horizontal="justify" vertical="center" wrapText="1"/>
    </xf>
    <xf numFmtId="1" fontId="27" fillId="0" borderId="8" xfId="0" applyNumberFormat="1" applyFont="1" applyFill="1" applyBorder="1" applyAlignment="1">
      <alignment horizontal="justify" vertical="center" wrapText="1"/>
    </xf>
    <xf numFmtId="9" fontId="27" fillId="0" borderId="8" xfId="0" applyNumberFormat="1" applyFont="1" applyFill="1" applyBorder="1" applyAlignment="1">
      <alignment horizontal="justify"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7" fillId="0" borderId="4" xfId="0" quotePrefix="1" applyNumberFormat="1" applyFont="1" applyFill="1" applyBorder="1" applyAlignment="1">
      <alignment horizontal="justify" vertical="center" wrapText="1"/>
    </xf>
    <xf numFmtId="9" fontId="27" fillId="0" borderId="8" xfId="0" quotePrefix="1" applyNumberFormat="1" applyFont="1" applyFill="1" applyBorder="1" applyAlignment="1">
      <alignment horizontal="justify" vertical="center" wrapText="1"/>
    </xf>
    <xf numFmtId="165" fontId="23" fillId="0" borderId="8" xfId="1"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10" fontId="25" fillId="0" borderId="32" xfId="1" applyNumberFormat="1" applyFont="1" applyBorder="1" applyAlignment="1" applyProtection="1">
      <alignment horizontal="center" vertical="center" wrapText="1"/>
    </xf>
    <xf numFmtId="10" fontId="25" fillId="0" borderId="33" xfId="1" applyNumberFormat="1" applyFont="1" applyBorder="1" applyAlignment="1" applyProtection="1">
      <alignment horizontal="center" vertical="center" wrapText="1"/>
    </xf>
    <xf numFmtId="0" fontId="2" fillId="0" borderId="0" xfId="0" applyFont="1" applyAlignment="1">
      <alignment wrapText="1"/>
    </xf>
    <xf numFmtId="9" fontId="19" fillId="0" borderId="0" xfId="5" applyNumberFormat="1"/>
    <xf numFmtId="10" fontId="36" fillId="0" borderId="23" xfId="1" applyNumberFormat="1" applyFont="1" applyBorder="1" applyAlignment="1">
      <alignment horizontal="center" vertical="center"/>
    </xf>
    <xf numFmtId="10" fontId="36" fillId="0" borderId="23" xfId="5" applyNumberFormat="1" applyFont="1" applyBorder="1" applyAlignment="1">
      <alignment horizontal="center" vertical="center"/>
    </xf>
    <xf numFmtId="1" fontId="14" fillId="0" borderId="0" xfId="0" applyNumberFormat="1" applyFont="1" applyFill="1" applyBorder="1" applyAlignment="1">
      <alignment horizontal="center" vertical="center" wrapText="1"/>
    </xf>
    <xf numFmtId="10" fontId="20" fillId="0" borderId="23" xfId="1" applyNumberFormat="1" applyFont="1" applyBorder="1" applyAlignment="1">
      <alignment horizontal="center" vertical="center"/>
    </xf>
    <xf numFmtId="10" fontId="20" fillId="0" borderId="27" xfId="1" applyNumberFormat="1" applyFont="1" applyBorder="1" applyAlignment="1">
      <alignment horizontal="center" vertical="center"/>
    </xf>
    <xf numFmtId="10" fontId="20" fillId="0" borderId="23" xfId="5" applyNumberFormat="1" applyFont="1" applyBorder="1" applyAlignment="1">
      <alignment horizontal="center" vertical="center"/>
    </xf>
    <xf numFmtId="10" fontId="20" fillId="0" borderId="31" xfId="1" applyNumberFormat="1" applyFont="1" applyBorder="1" applyAlignment="1">
      <alignment horizontal="center" vertical="center"/>
    </xf>
    <xf numFmtId="10" fontId="20" fillId="0" borderId="29" xfId="5" applyNumberFormat="1" applyFont="1" applyBorder="1" applyAlignment="1">
      <alignment horizontal="center" vertical="center"/>
    </xf>
    <xf numFmtId="10" fontId="20" fillId="0" borderId="30" xfId="1" applyNumberFormat="1" applyFont="1" applyBorder="1" applyAlignment="1">
      <alignment horizontal="center" vertical="center"/>
    </xf>
    <xf numFmtId="0" fontId="12" fillId="0" borderId="9" xfId="0" applyFont="1" applyFill="1" applyBorder="1" applyAlignment="1">
      <alignment vertical="center" wrapText="1"/>
    </xf>
    <xf numFmtId="165" fontId="25" fillId="0" borderId="33" xfId="1" applyNumberFormat="1" applyFont="1" applyBorder="1" applyAlignment="1" applyProtection="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10" fontId="25" fillId="0" borderId="4" xfId="1" applyNumberFormat="1" applyFont="1" applyBorder="1" applyAlignment="1" applyProtection="1">
      <alignment horizontal="center" vertical="center" wrapText="1"/>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4"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2" borderId="4" xfId="0" applyNumberFormat="1" applyFont="1" applyFill="1" applyBorder="1" applyAlignment="1">
      <alignment horizontal="justify" vertical="center" wrapText="1"/>
    </xf>
    <xf numFmtId="0" fontId="6" fillId="2" borderId="0" xfId="0" applyFont="1" applyFill="1" applyBorder="1" applyAlignment="1">
      <alignment horizontal="center" vertical="center" wrapText="1"/>
    </xf>
    <xf numFmtId="9" fontId="22" fillId="2" borderId="4" xfId="0" applyNumberFormat="1" applyFont="1" applyFill="1" applyBorder="1" applyAlignment="1">
      <alignment vertical="center" wrapText="1"/>
    </xf>
    <xf numFmtId="10" fontId="25" fillId="0" borderId="9" xfId="1" applyNumberFormat="1" applyFont="1" applyBorder="1" applyAlignment="1" applyProtection="1">
      <alignment vertical="center" wrapText="1"/>
    </xf>
    <xf numFmtId="9" fontId="25" fillId="0" borderId="33" xfId="1" applyNumberFormat="1" applyFont="1" applyBorder="1" applyAlignment="1" applyProtection="1">
      <alignment horizontal="center" vertical="center" wrapText="1"/>
    </xf>
    <xf numFmtId="9" fontId="22" fillId="2" borderId="9" xfId="3" applyFont="1" applyFill="1" applyBorder="1" applyAlignment="1">
      <alignment vertical="center" wrapText="1"/>
    </xf>
    <xf numFmtId="9" fontId="22" fillId="0" borderId="9" xfId="3" applyFont="1" applyFill="1" applyBorder="1" applyAlignment="1">
      <alignment vertical="center" wrapText="1"/>
    </xf>
    <xf numFmtId="44" fontId="27" fillId="0" borderId="4" xfId="4" applyFont="1" applyFill="1" applyBorder="1" applyAlignment="1">
      <alignment vertical="center" wrapText="1"/>
    </xf>
    <xf numFmtId="44" fontId="27" fillId="0" borderId="9" xfId="4" applyNumberFormat="1" applyFont="1" applyFill="1" applyBorder="1" applyAlignment="1">
      <alignment horizontal="center" vertical="center" wrapText="1"/>
    </xf>
    <xf numFmtId="44" fontId="27" fillId="0" borderId="9" xfId="4" applyFont="1" applyFill="1" applyBorder="1" applyAlignment="1">
      <alignment horizontal="center" vertical="center" wrapText="1"/>
    </xf>
    <xf numFmtId="44" fontId="27" fillId="2" borderId="9" xfId="4" applyFont="1" applyFill="1" applyBorder="1" applyAlignment="1">
      <alignment horizontal="center" vertical="center" wrapText="1"/>
    </xf>
    <xf numFmtId="1" fontId="27" fillId="0" borderId="9" xfId="0" applyNumberFormat="1" applyFont="1" applyFill="1" applyBorder="1" applyAlignment="1">
      <alignment horizontal="center" vertical="center" wrapText="1"/>
    </xf>
    <xf numFmtId="9" fontId="27" fillId="0" borderId="9" xfId="0" applyNumberFormat="1" applyFont="1" applyFill="1" applyBorder="1" applyAlignment="1">
      <alignment horizontal="center" vertical="center" wrapText="1"/>
    </xf>
    <xf numFmtId="165" fontId="27" fillId="0" borderId="9" xfId="0" applyNumberFormat="1" applyFont="1" applyFill="1" applyBorder="1" applyAlignment="1">
      <alignment horizontal="center" vertical="center" wrapText="1"/>
    </xf>
    <xf numFmtId="165" fontId="27" fillId="2" borderId="4" xfId="0" applyNumberFormat="1" applyFont="1" applyFill="1" applyBorder="1" applyAlignment="1">
      <alignment horizontal="center" vertical="center" wrapText="1"/>
    </xf>
    <xf numFmtId="10" fontId="27" fillId="2" borderId="4" xfId="0" applyNumberFormat="1" applyFont="1" applyFill="1" applyBorder="1" applyAlignment="1">
      <alignment horizontal="center" vertical="center" wrapText="1"/>
    </xf>
    <xf numFmtId="165" fontId="27" fillId="2" borderId="9" xfId="0" applyNumberFormat="1" applyFont="1" applyFill="1" applyBorder="1" applyAlignment="1">
      <alignment horizontal="center" vertical="center" wrapText="1"/>
    </xf>
    <xf numFmtId="9" fontId="27" fillId="2" borderId="9" xfId="0" applyNumberFormat="1" applyFont="1" applyFill="1" applyBorder="1" applyAlignment="1">
      <alignment horizontal="center" vertical="center" wrapText="1"/>
    </xf>
    <xf numFmtId="10" fontId="27" fillId="0" borderId="9" xfId="0" applyNumberFormat="1" applyFont="1" applyFill="1" applyBorder="1" applyAlignment="1">
      <alignment horizontal="center" vertical="center" wrapText="1"/>
    </xf>
    <xf numFmtId="1" fontId="27" fillId="0" borderId="8" xfId="0" applyNumberFormat="1" applyFont="1" applyFill="1" applyBorder="1" applyAlignment="1">
      <alignment horizontal="center" vertical="center" wrapText="1"/>
    </xf>
    <xf numFmtId="10" fontId="27" fillId="0" borderId="9" xfId="1" applyNumberFormat="1" applyFont="1" applyFill="1" applyBorder="1" applyAlignment="1">
      <alignment horizontal="center" vertical="center" wrapText="1"/>
    </xf>
    <xf numFmtId="9" fontId="27" fillId="0" borderId="9" xfId="1" applyFont="1" applyFill="1" applyBorder="1" applyAlignment="1">
      <alignment horizontal="center" vertical="center" wrapText="1"/>
    </xf>
    <xf numFmtId="165" fontId="27" fillId="0" borderId="9" xfId="1" applyNumberFormat="1" applyFont="1" applyFill="1" applyBorder="1" applyAlignment="1">
      <alignment horizontal="center" vertical="center" wrapText="1"/>
    </xf>
    <xf numFmtId="1" fontId="27" fillId="0" borderId="9" xfId="1" applyNumberFormat="1" applyFont="1" applyFill="1" applyBorder="1" applyAlignment="1">
      <alignment horizontal="center" vertical="center" wrapText="1"/>
    </xf>
    <xf numFmtId="9" fontId="27" fillId="0" borderId="8" xfId="0" applyNumberFormat="1" applyFont="1" applyFill="1" applyBorder="1" applyAlignment="1">
      <alignment horizontal="center" vertical="center" wrapText="1"/>
    </xf>
    <xf numFmtId="9" fontId="27" fillId="0" borderId="8" xfId="1" applyNumberFormat="1" applyFont="1" applyFill="1" applyBorder="1" applyAlignment="1">
      <alignment horizontal="center" vertical="center" wrapText="1"/>
    </xf>
    <xf numFmtId="2" fontId="27" fillId="0" borderId="9" xfId="0" applyNumberFormat="1" applyFont="1" applyFill="1" applyBorder="1" applyAlignment="1">
      <alignment horizontal="center" vertical="center" wrapText="1"/>
    </xf>
    <xf numFmtId="1" fontId="27" fillId="0" borderId="9" xfId="3" applyNumberFormat="1" applyFont="1" applyFill="1" applyBorder="1" applyAlignment="1">
      <alignment horizontal="center" vertical="center" wrapText="1"/>
    </xf>
    <xf numFmtId="9" fontId="35" fillId="2" borderId="0" xfId="0" applyNumberFormat="1" applyFont="1" applyFill="1" applyBorder="1" applyAlignment="1">
      <alignment horizontal="center" vertical="center" wrapText="1"/>
    </xf>
    <xf numFmtId="10" fontId="25" fillId="0" borderId="13" xfId="1" applyNumberFormat="1" applyFont="1" applyBorder="1" applyAlignment="1" applyProtection="1">
      <alignment horizontal="center" vertical="center" wrapText="1"/>
    </xf>
    <xf numFmtId="9" fontId="35" fillId="2" borderId="9" xfId="0" applyNumberFormat="1" applyFont="1" applyFill="1" applyBorder="1" applyAlignment="1">
      <alignment horizontal="center" vertical="center" wrapText="1"/>
    </xf>
    <xf numFmtId="9" fontId="27" fillId="0" borderId="9" xfId="1" applyNumberFormat="1" applyFont="1" applyFill="1" applyBorder="1" applyAlignment="1">
      <alignment horizontal="center" vertical="center" wrapText="1"/>
    </xf>
    <xf numFmtId="9" fontId="25" fillId="0" borderId="32" xfId="1" applyNumberFormat="1" applyFont="1" applyBorder="1" applyAlignment="1" applyProtection="1">
      <alignment horizontal="center" vertical="center" wrapText="1"/>
    </xf>
    <xf numFmtId="0" fontId="2" fillId="2" borderId="0" xfId="0" applyFont="1" applyFill="1" applyAlignment="1">
      <alignment wrapText="1"/>
    </xf>
    <xf numFmtId="0" fontId="3" fillId="2" borderId="0" xfId="0" applyFont="1" applyFill="1" applyAlignment="1">
      <alignment wrapText="1"/>
    </xf>
    <xf numFmtId="0" fontId="2" fillId="2" borderId="0" xfId="0" applyFont="1" applyFill="1" applyAlignment="1">
      <alignment horizontal="justify" vertical="center" wrapText="1"/>
    </xf>
    <xf numFmtId="166" fontId="2" fillId="2" borderId="0" xfId="0" applyNumberFormat="1" applyFont="1" applyFill="1" applyAlignment="1">
      <alignment wrapText="1"/>
    </xf>
    <xf numFmtId="0" fontId="2" fillId="2" borderId="0" xfId="0" applyFont="1" applyFill="1" applyBorder="1" applyAlignment="1">
      <alignment wrapText="1"/>
    </xf>
    <xf numFmtId="9" fontId="14" fillId="0" borderId="0" xfId="0" applyNumberFormat="1" applyFont="1" applyFill="1" applyBorder="1" applyAlignment="1">
      <alignment horizontal="left" vertical="center" wrapText="1"/>
    </xf>
    <xf numFmtId="3" fontId="2" fillId="2" borderId="0" xfId="0" applyNumberFormat="1" applyFont="1" applyFill="1" applyAlignment="1">
      <alignment wrapText="1"/>
    </xf>
    <xf numFmtId="10" fontId="2" fillId="0" borderId="0" xfId="1" applyNumberFormat="1" applyFont="1" applyAlignment="1">
      <alignment wrapText="1"/>
    </xf>
    <xf numFmtId="166" fontId="2" fillId="0" borderId="0" xfId="0" applyNumberFormat="1" applyFont="1" applyAlignment="1">
      <alignment wrapText="1"/>
    </xf>
    <xf numFmtId="0" fontId="2" fillId="2" borderId="0" xfId="0" quotePrefix="1" applyFont="1" applyFill="1" applyAlignment="1">
      <alignment wrapText="1"/>
    </xf>
    <xf numFmtId="0" fontId="3" fillId="0" borderId="0" xfId="0" applyFont="1" applyAlignment="1">
      <alignment wrapText="1"/>
    </xf>
    <xf numFmtId="0" fontId="2" fillId="0" borderId="0" xfId="0" applyFont="1" applyAlignment="1">
      <alignment horizontal="justify" vertical="center" wrapText="1"/>
    </xf>
    <xf numFmtId="0" fontId="4"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6" xfId="0" applyFont="1" applyFill="1" applyBorder="1" applyAlignment="1">
      <alignment horizontal="center" vertical="center" wrapText="1"/>
    </xf>
    <xf numFmtId="9" fontId="27" fillId="2" borderId="4" xfId="0" applyNumberFormat="1" applyFont="1" applyFill="1" applyBorder="1" applyAlignment="1" applyProtection="1">
      <alignment horizontal="justify" vertical="center" wrapText="1"/>
    </xf>
    <xf numFmtId="9" fontId="27" fillId="2" borderId="8" xfId="0" applyNumberFormat="1" applyFont="1" applyFill="1" applyBorder="1" applyAlignment="1" applyProtection="1">
      <alignment horizontal="justify" vertical="center" wrapText="1"/>
    </xf>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9" fontId="22" fillId="0" borderId="4" xfId="3" applyFont="1" applyFill="1" applyBorder="1" applyAlignment="1">
      <alignment horizontal="center" vertical="center" textRotation="90" wrapText="1"/>
    </xf>
    <xf numFmtId="9" fontId="22" fillId="0" borderId="10" xfId="3" applyFont="1" applyFill="1" applyBorder="1" applyAlignment="1">
      <alignment horizontal="center" vertical="center" textRotation="90" wrapText="1"/>
    </xf>
    <xf numFmtId="9" fontId="22" fillId="0" borderId="8" xfId="3" applyFont="1" applyFill="1" applyBorder="1" applyAlignment="1">
      <alignment horizontal="center" vertical="center" textRotation="90" wrapText="1"/>
    </xf>
    <xf numFmtId="49" fontId="12" fillId="0" borderId="4"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23" fillId="0" borderId="4" xfId="0" applyFont="1" applyFill="1" applyBorder="1" applyAlignment="1">
      <alignment horizontal="left" vertical="center" wrapText="1"/>
    </xf>
    <xf numFmtId="0" fontId="23" fillId="0" borderId="8" xfId="0" applyFont="1" applyFill="1" applyBorder="1" applyAlignment="1">
      <alignment horizontal="left"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44" fontId="23" fillId="0" borderId="4" xfId="4" applyFont="1" applyFill="1" applyBorder="1" applyAlignment="1">
      <alignment horizontal="center" vertical="center" wrapText="1"/>
    </xf>
    <xf numFmtId="44" fontId="23" fillId="0" borderId="8" xfId="4" applyFont="1" applyFill="1" applyBorder="1" applyAlignment="1">
      <alignment horizontal="center" vertical="center" wrapText="1"/>
    </xf>
    <xf numFmtId="10" fontId="25" fillId="0" borderId="4" xfId="1" applyNumberFormat="1" applyFont="1" applyBorder="1" applyAlignment="1" applyProtection="1">
      <alignment horizontal="center" vertical="center" wrapText="1"/>
    </xf>
    <xf numFmtId="10" fontId="25" fillId="0" borderId="8" xfId="1" applyNumberFormat="1" applyFont="1" applyBorder="1" applyAlignment="1" applyProtection="1">
      <alignment horizontal="center" vertical="center" wrapText="1"/>
    </xf>
    <xf numFmtId="44" fontId="23" fillId="2" borderId="4" xfId="4" applyFont="1" applyFill="1" applyBorder="1" applyAlignment="1">
      <alignment horizontal="center" vertical="center" wrapText="1"/>
    </xf>
    <xf numFmtId="44" fontId="23" fillId="2" borderId="8" xfId="4" applyFont="1" applyFill="1" applyBorder="1" applyAlignment="1">
      <alignment horizontal="center" vertical="center" wrapText="1"/>
    </xf>
    <xf numFmtId="9" fontId="23" fillId="0" borderId="4" xfId="0" applyNumberFormat="1" applyFont="1" applyFill="1" applyBorder="1" applyAlignment="1">
      <alignment horizontal="center" vertical="center" wrapText="1"/>
    </xf>
    <xf numFmtId="9" fontId="23" fillId="0" borderId="8" xfId="0" applyNumberFormat="1" applyFont="1" applyFill="1" applyBorder="1" applyAlignment="1">
      <alignment horizontal="center" vertical="center" wrapText="1"/>
    </xf>
    <xf numFmtId="0" fontId="18" fillId="2" borderId="4" xfId="0" applyFont="1" applyFill="1" applyBorder="1" applyAlignment="1">
      <alignment horizontal="center" vertical="center" textRotation="90"/>
    </xf>
    <xf numFmtId="0" fontId="18" fillId="2" borderId="10" xfId="0" applyFont="1" applyFill="1" applyBorder="1" applyAlignment="1">
      <alignment horizontal="center" vertical="center" textRotation="90"/>
    </xf>
    <xf numFmtId="0" fontId="18" fillId="2" borderId="8" xfId="0" applyFont="1" applyFill="1" applyBorder="1" applyAlignment="1">
      <alignment horizontal="center" vertical="center" textRotation="90"/>
    </xf>
    <xf numFmtId="0" fontId="18" fillId="2" borderId="4" xfId="0" applyFont="1" applyFill="1" applyBorder="1" applyAlignment="1">
      <alignment horizontal="center" vertical="center" textRotation="90" wrapText="1"/>
    </xf>
    <xf numFmtId="0" fontId="18" fillId="2" borderId="10" xfId="0" applyFont="1" applyFill="1" applyBorder="1" applyAlignment="1">
      <alignment horizontal="center" vertical="center" textRotation="90" wrapText="1"/>
    </xf>
    <xf numFmtId="0" fontId="18" fillId="2" borderId="8" xfId="0" applyFont="1" applyFill="1" applyBorder="1" applyAlignment="1">
      <alignment horizontal="center" vertical="center" textRotation="90" wrapText="1"/>
    </xf>
    <xf numFmtId="37" fontId="11" fillId="2" borderId="12" xfId="2" applyNumberFormat="1" applyFont="1" applyFill="1" applyBorder="1" applyAlignment="1">
      <alignment horizontal="center" vertical="center" wrapText="1"/>
    </xf>
    <xf numFmtId="37" fontId="11" fillId="2" borderId="14" xfId="2"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textRotation="90" wrapText="1"/>
    </xf>
    <xf numFmtId="10" fontId="3" fillId="2" borderId="15" xfId="0" applyNumberFormat="1" applyFont="1" applyFill="1" applyBorder="1" applyAlignment="1">
      <alignment horizontal="center" vertical="center" textRotation="90" wrapText="1"/>
    </xf>
    <xf numFmtId="9" fontId="23" fillId="0" borderId="4" xfId="0" applyNumberFormat="1" applyFont="1" applyFill="1" applyBorder="1" applyAlignment="1">
      <alignment horizontal="justify" vertical="center" wrapText="1"/>
    </xf>
    <xf numFmtId="9" fontId="23" fillId="0" borderId="8" xfId="0" applyNumberFormat="1" applyFont="1" applyFill="1" applyBorder="1" applyAlignment="1">
      <alignment horizontal="justify" vertical="center" wrapText="1"/>
    </xf>
    <xf numFmtId="0" fontId="13" fillId="2" borderId="14" xfId="0" applyFont="1" applyFill="1" applyBorder="1" applyAlignment="1">
      <alignment horizontal="center" vertical="center" wrapText="1"/>
    </xf>
    <xf numFmtId="0" fontId="3" fillId="2" borderId="15" xfId="0" applyFont="1" applyFill="1" applyBorder="1" applyAlignment="1">
      <alignment horizontal="center" vertical="center" textRotation="90" wrapText="1"/>
    </xf>
    <xf numFmtId="9" fontId="22" fillId="0" borderId="4" xfId="0" applyNumberFormat="1" applyFont="1" applyFill="1" applyBorder="1" applyAlignment="1">
      <alignment horizontal="center" vertical="center" textRotation="90" wrapText="1"/>
    </xf>
    <xf numFmtId="9" fontId="22" fillId="0" borderId="8" xfId="0" applyNumberFormat="1" applyFont="1" applyFill="1" applyBorder="1" applyAlignment="1">
      <alignment horizontal="center" vertical="center" textRotation="90" wrapText="1"/>
    </xf>
    <xf numFmtId="9" fontId="23" fillId="0" borderId="10" xfId="0" applyNumberFormat="1" applyFont="1" applyFill="1" applyBorder="1" applyAlignment="1">
      <alignment horizontal="justify" vertical="center" wrapText="1"/>
    </xf>
    <xf numFmtId="9" fontId="22" fillId="0" borderId="10" xfId="0" applyNumberFormat="1" applyFont="1" applyFill="1" applyBorder="1" applyAlignment="1">
      <alignment horizontal="center" vertical="center" wrapText="1"/>
    </xf>
    <xf numFmtId="1" fontId="23" fillId="0" borderId="4" xfId="0" applyNumberFormat="1" applyFont="1" applyFill="1" applyBorder="1" applyAlignment="1">
      <alignment horizontal="center" vertical="center" wrapText="1"/>
    </xf>
    <xf numFmtId="1" fontId="23" fillId="0" borderId="10" xfId="0" applyNumberFormat="1" applyFont="1" applyFill="1" applyBorder="1" applyAlignment="1">
      <alignment horizontal="center" vertical="center" wrapText="1"/>
    </xf>
    <xf numFmtId="1" fontId="23" fillId="0" borderId="8" xfId="0" applyNumberFormat="1" applyFont="1" applyFill="1" applyBorder="1" applyAlignment="1">
      <alignment horizontal="center" vertical="center" wrapText="1"/>
    </xf>
    <xf numFmtId="9" fontId="27" fillId="0" borderId="4" xfId="0" quotePrefix="1" applyNumberFormat="1" applyFont="1" applyFill="1" applyBorder="1" applyAlignment="1">
      <alignment horizontal="justify" vertical="center" wrapText="1"/>
    </xf>
    <xf numFmtId="9" fontId="27" fillId="0" borderId="10" xfId="0" quotePrefix="1" applyNumberFormat="1" applyFont="1" applyFill="1" applyBorder="1" applyAlignment="1">
      <alignment horizontal="justify" vertical="center" wrapText="1"/>
    </xf>
    <xf numFmtId="9" fontId="27" fillId="0" borderId="8" xfId="0" quotePrefix="1" applyNumberFormat="1" applyFont="1" applyFill="1" applyBorder="1" applyAlignment="1">
      <alignment horizontal="justify" vertical="center" wrapText="1"/>
    </xf>
    <xf numFmtId="1" fontId="27" fillId="0" borderId="4" xfId="0" quotePrefix="1" applyNumberFormat="1" applyFont="1" applyFill="1" applyBorder="1" applyAlignment="1">
      <alignment horizontal="justify" vertical="center" wrapText="1"/>
    </xf>
    <xf numFmtId="1" fontId="27" fillId="0" borderId="8" xfId="0" quotePrefix="1" applyNumberFormat="1" applyFont="1" applyFill="1" applyBorder="1" applyAlignment="1">
      <alignment horizontal="justify"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3" fillId="2" borderId="13" xfId="0" applyFont="1" applyFill="1" applyBorder="1" applyAlignment="1">
      <alignment horizontal="center" vertical="center" textRotation="90" wrapText="1"/>
    </xf>
    <xf numFmtId="0" fontId="3" fillId="2" borderId="19" xfId="0" applyFont="1" applyFill="1" applyBorder="1" applyAlignment="1">
      <alignment horizontal="center" vertical="center" textRotation="90" wrapText="1"/>
    </xf>
    <xf numFmtId="0" fontId="12" fillId="0" borderId="4" xfId="0" applyFont="1" applyFill="1" applyBorder="1" applyAlignment="1">
      <alignment horizontal="center" vertical="center"/>
    </xf>
    <xf numFmtId="0" fontId="12" fillId="0" borderId="8" xfId="0" applyFont="1" applyFill="1" applyBorder="1" applyAlignment="1">
      <alignment horizontal="center" vertical="center"/>
    </xf>
    <xf numFmtId="9" fontId="22" fillId="2" borderId="4" xfId="0" applyNumberFormat="1" applyFont="1" applyFill="1" applyBorder="1" applyAlignment="1">
      <alignment horizontal="center" vertical="center" wrapText="1"/>
    </xf>
    <xf numFmtId="9" fontId="22" fillId="2" borderId="10"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9" fontId="27" fillId="0" borderId="10" xfId="0" applyNumberFormat="1" applyFont="1" applyFill="1" applyBorder="1" applyAlignment="1">
      <alignment horizontal="justify" vertical="center" wrapText="1"/>
    </xf>
    <xf numFmtId="9" fontId="27" fillId="0" borderId="8" xfId="0" applyNumberFormat="1" applyFont="1" applyFill="1" applyBorder="1" applyAlignment="1">
      <alignment horizontal="justify" vertical="center" wrapText="1"/>
    </xf>
    <xf numFmtId="0" fontId="12" fillId="0" borderId="10" xfId="0" applyFont="1" applyFill="1" applyBorder="1" applyAlignment="1">
      <alignment horizontal="center" vertical="center"/>
    </xf>
    <xf numFmtId="9" fontId="22" fillId="0" borderId="10" xfId="0" applyNumberFormat="1" applyFont="1" applyFill="1" applyBorder="1" applyAlignment="1">
      <alignment horizontal="center" vertical="center" textRotation="90" wrapText="1"/>
    </xf>
    <xf numFmtId="10" fontId="25" fillId="0" borderId="10" xfId="1" applyNumberFormat="1" applyFont="1" applyBorder="1" applyAlignment="1" applyProtection="1">
      <alignment horizontal="center" vertical="center" wrapText="1"/>
    </xf>
    <xf numFmtId="1" fontId="27" fillId="0" borderId="4" xfId="0" applyNumberFormat="1" applyFont="1" applyFill="1" applyBorder="1" applyAlignment="1">
      <alignment horizontal="justify" vertical="center" wrapText="1"/>
    </xf>
    <xf numFmtId="1" fontId="27" fillId="0" borderId="10" xfId="0" applyNumberFormat="1" applyFont="1" applyFill="1" applyBorder="1" applyAlignment="1">
      <alignment horizontal="justify" vertical="center" wrapText="1"/>
    </xf>
    <xf numFmtId="1" fontId="27" fillId="0" borderId="8" xfId="0" applyNumberFormat="1" applyFont="1" applyFill="1" applyBorder="1" applyAlignment="1">
      <alignment horizontal="justify" vertical="center" wrapText="1"/>
    </xf>
    <xf numFmtId="9" fontId="23" fillId="0" borderId="10" xfId="0" applyNumberFormat="1" applyFont="1" applyFill="1" applyBorder="1" applyAlignment="1">
      <alignment horizontal="center" vertical="center" wrapText="1"/>
    </xf>
    <xf numFmtId="0" fontId="23" fillId="2" borderId="4" xfId="0" applyFont="1" applyFill="1" applyBorder="1" applyAlignment="1">
      <alignment horizontal="justify" vertical="center" wrapText="1"/>
    </xf>
    <xf numFmtId="0" fontId="23" fillId="2" borderId="8" xfId="0" applyFont="1" applyFill="1" applyBorder="1" applyAlignment="1">
      <alignment horizontal="justify" vertical="center" wrapText="1"/>
    </xf>
    <xf numFmtId="49" fontId="22" fillId="2" borderId="4" xfId="3" applyNumberFormat="1" applyFont="1" applyFill="1" applyBorder="1" applyAlignment="1">
      <alignment horizontal="center" vertical="center" wrapText="1"/>
    </xf>
    <xf numFmtId="49" fontId="22" fillId="2" borderId="8"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22" fillId="0" borderId="10" xfId="3" applyNumberFormat="1" applyFont="1" applyFill="1" applyBorder="1" applyAlignment="1">
      <alignment horizontal="center" vertical="center" wrapText="1"/>
    </xf>
    <xf numFmtId="9" fontId="22" fillId="0" borderId="4" xfId="3" applyNumberFormat="1" applyFont="1" applyFill="1" applyBorder="1" applyAlignment="1">
      <alignment horizontal="center" vertical="center" textRotation="90" wrapText="1"/>
    </xf>
    <xf numFmtId="9" fontId="22" fillId="0" borderId="10"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0" fontId="23" fillId="0" borderId="4" xfId="0" applyFont="1" applyFill="1" applyBorder="1" applyAlignment="1">
      <alignment horizontal="center" vertical="center" wrapText="1"/>
    </xf>
    <xf numFmtId="0" fontId="23" fillId="0" borderId="8" xfId="0" applyFont="1" applyFill="1" applyBorder="1" applyAlignment="1">
      <alignment horizontal="center" vertical="center" wrapText="1"/>
    </xf>
    <xf numFmtId="9" fontId="22" fillId="2" borderId="4" xfId="3" applyFont="1" applyFill="1" applyBorder="1" applyAlignment="1">
      <alignment horizontal="center" vertical="center" wrapText="1"/>
    </xf>
    <xf numFmtId="9" fontId="22" fillId="2" borderId="8" xfId="3" applyFont="1" applyFill="1" applyBorder="1" applyAlignment="1">
      <alignment horizontal="center" vertical="center" wrapText="1"/>
    </xf>
    <xf numFmtId="9" fontId="23" fillId="0" borderId="4" xfId="0" applyNumberFormat="1" applyFont="1" applyFill="1" applyBorder="1" applyAlignment="1">
      <alignment horizontal="left" vertical="center" wrapText="1"/>
    </xf>
    <xf numFmtId="9" fontId="23" fillId="0" borderId="8" xfId="0" applyNumberFormat="1" applyFont="1" applyFill="1" applyBorder="1" applyAlignment="1">
      <alignment horizontal="left" vertical="center" wrapText="1"/>
    </xf>
    <xf numFmtId="9" fontId="27" fillId="0" borderId="4" xfId="0" applyNumberFormat="1" applyFont="1" applyFill="1" applyBorder="1" applyAlignment="1">
      <alignment horizontal="justify" vertical="center" wrapText="1"/>
    </xf>
    <xf numFmtId="9" fontId="23" fillId="0" borderId="4" xfId="3" applyFont="1" applyFill="1" applyBorder="1" applyAlignment="1">
      <alignment horizontal="center" vertical="center" wrapText="1"/>
    </xf>
    <xf numFmtId="9" fontId="23" fillId="0" borderId="8" xfId="3" applyFont="1" applyFill="1" applyBorder="1" applyAlignment="1">
      <alignment horizontal="center" vertical="center" wrapText="1"/>
    </xf>
    <xf numFmtId="9" fontId="34" fillId="0" borderId="10" xfId="0" quotePrefix="1" applyNumberFormat="1" applyFont="1" applyFill="1" applyBorder="1" applyAlignment="1">
      <alignment horizontal="center" vertical="center" wrapText="1"/>
    </xf>
    <xf numFmtId="9" fontId="34" fillId="0" borderId="8" xfId="0" quotePrefix="1" applyNumberFormat="1" applyFont="1" applyFill="1" applyBorder="1" applyAlignment="1">
      <alignment horizontal="center" vertical="center" wrapText="1"/>
    </xf>
    <xf numFmtId="9" fontId="27" fillId="0" borderId="4" xfId="3" applyFont="1" applyFill="1" applyBorder="1" applyAlignment="1">
      <alignment horizontal="justify" vertical="center" wrapText="1"/>
    </xf>
    <xf numFmtId="9" fontId="27" fillId="0" borderId="8" xfId="3" applyFont="1" applyFill="1" applyBorder="1" applyAlignment="1">
      <alignment horizontal="justify" vertical="center" wrapText="1"/>
    </xf>
    <xf numFmtId="9" fontId="23" fillId="0" borderId="4" xfId="3" applyNumberFormat="1" applyFont="1" applyFill="1" applyBorder="1" applyAlignment="1">
      <alignment horizontal="justify" vertical="center" wrapText="1"/>
    </xf>
    <xf numFmtId="9" fontId="23" fillId="0" borderId="8" xfId="3" applyNumberFormat="1" applyFont="1" applyFill="1" applyBorder="1" applyAlignment="1">
      <alignment horizontal="justify"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3" fillId="0" borderId="4" xfId="3" applyFont="1" applyFill="1" applyBorder="1" applyAlignment="1">
      <alignment horizontal="justify" vertical="center" wrapText="1"/>
    </xf>
    <xf numFmtId="9" fontId="23" fillId="0" borderId="8" xfId="3" applyFont="1" applyFill="1" applyBorder="1" applyAlignment="1">
      <alignment horizontal="justify" vertical="center" wrapText="1"/>
    </xf>
    <xf numFmtId="9" fontId="22" fillId="2" borderId="10" xfId="3" applyFont="1" applyFill="1" applyBorder="1" applyAlignment="1">
      <alignment horizontal="center" vertical="center" wrapText="1"/>
    </xf>
    <xf numFmtId="9" fontId="23" fillId="0" borderId="10" xfId="3" applyNumberFormat="1" applyFont="1" applyFill="1" applyBorder="1" applyAlignment="1">
      <alignment horizontal="justify" vertical="center" wrapText="1"/>
    </xf>
    <xf numFmtId="9" fontId="22" fillId="0" borderId="10" xfId="3" applyFont="1" applyFill="1" applyBorder="1" applyAlignment="1">
      <alignment horizontal="center" vertical="center" wrapText="1"/>
    </xf>
    <xf numFmtId="9" fontId="27" fillId="0" borderId="10" xfId="3" applyFont="1" applyFill="1" applyBorder="1" applyAlignment="1">
      <alignment horizontal="center" vertical="center" wrapText="1"/>
    </xf>
    <xf numFmtId="9" fontId="27" fillId="0" borderId="8" xfId="3" applyFont="1" applyFill="1" applyBorder="1" applyAlignment="1">
      <alignment horizontal="center" vertical="center" wrapText="1"/>
    </xf>
    <xf numFmtId="9" fontId="23" fillId="0" borderId="10" xfId="3" applyFont="1" applyFill="1" applyBorder="1" applyAlignment="1">
      <alignment horizontal="justify" vertical="center" wrapText="1"/>
    </xf>
    <xf numFmtId="9" fontId="23" fillId="0" borderId="10" xfId="3" applyFont="1" applyFill="1" applyBorder="1" applyAlignment="1">
      <alignment horizontal="center" vertical="center" wrapText="1"/>
    </xf>
    <xf numFmtId="1" fontId="27" fillId="0" borderId="4" xfId="0" applyNumberFormat="1" applyFont="1" applyFill="1" applyBorder="1" applyAlignment="1">
      <alignment horizontal="center" vertical="center" wrapText="1"/>
    </xf>
    <xf numFmtId="1" fontId="27" fillId="0" borderId="10" xfId="0" applyNumberFormat="1" applyFont="1" applyFill="1" applyBorder="1" applyAlignment="1">
      <alignment horizontal="center" vertical="center" wrapText="1"/>
    </xf>
    <xf numFmtId="1" fontId="27" fillId="0" borderId="8" xfId="0" applyNumberFormat="1" applyFont="1" applyFill="1" applyBorder="1" applyAlignment="1">
      <alignment horizontal="center" vertical="center" wrapText="1"/>
    </xf>
    <xf numFmtId="9" fontId="25" fillId="2" borderId="34" xfId="0" applyNumberFormat="1" applyFont="1" applyFill="1" applyBorder="1" applyAlignment="1">
      <alignment horizontal="center" vertical="center" wrapText="1"/>
    </xf>
    <xf numFmtId="9" fontId="25" fillId="2" borderId="10" xfId="0" applyNumberFormat="1" applyFont="1" applyFill="1" applyBorder="1" applyAlignment="1">
      <alignment horizontal="center" vertical="center" wrapText="1"/>
    </xf>
    <xf numFmtId="9" fontId="25" fillId="2" borderId="8" xfId="0" applyNumberFormat="1"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17" xfId="0" applyFont="1" applyFill="1" applyBorder="1" applyAlignment="1">
      <alignment horizontal="center" vertical="center" wrapText="1"/>
    </xf>
    <xf numFmtId="0" fontId="37" fillId="2" borderId="18" xfId="0" applyFont="1" applyFill="1" applyBorder="1" applyAlignment="1">
      <alignment horizontal="center" vertical="center" wrapText="1"/>
    </xf>
    <xf numFmtId="0" fontId="37" fillId="2" borderId="13" xfId="0" applyFont="1" applyFill="1" applyBorder="1" applyAlignment="1">
      <alignment horizontal="center" vertical="center" textRotation="90" wrapText="1"/>
    </xf>
    <xf numFmtId="0" fontId="37" fillId="2" borderId="15" xfId="0" applyFont="1" applyFill="1" applyBorder="1" applyAlignment="1">
      <alignment horizontal="center" vertical="center" textRotation="90" wrapText="1"/>
    </xf>
    <xf numFmtId="0" fontId="37" fillId="2" borderId="19" xfId="0" applyFont="1" applyFill="1" applyBorder="1" applyAlignment="1">
      <alignment horizontal="center" vertical="center" textRotation="90" wrapText="1"/>
    </xf>
    <xf numFmtId="44" fontId="27" fillId="0" borderId="4" xfId="4" applyFont="1" applyFill="1" applyBorder="1" applyAlignment="1">
      <alignment horizontal="center" vertical="center" wrapText="1"/>
    </xf>
    <xf numFmtId="44" fontId="27" fillId="0" borderId="8" xfId="4" applyFont="1" applyFill="1" applyBorder="1" applyAlignment="1">
      <alignment horizontal="center" vertical="center" wrapText="1"/>
    </xf>
    <xf numFmtId="44" fontId="27" fillId="2" borderId="4" xfId="4" applyFont="1" applyFill="1" applyBorder="1" applyAlignment="1">
      <alignment horizontal="center" vertical="center" wrapText="1"/>
    </xf>
    <xf numFmtId="44" fontId="27" fillId="2" borderId="8" xfId="4" applyFont="1" applyFill="1" applyBorder="1" applyAlignment="1">
      <alignment horizontal="center" vertical="center" wrapText="1"/>
    </xf>
    <xf numFmtId="0" fontId="8" fillId="5" borderId="8"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7" fillId="5" borderId="20" xfId="0" applyFont="1" applyFill="1" applyBorder="1" applyAlignment="1">
      <alignment horizontal="center" vertical="center" wrapText="1"/>
    </xf>
    <xf numFmtId="37" fontId="37" fillId="2" borderId="12" xfId="2" applyNumberFormat="1" applyFont="1" applyFill="1" applyBorder="1" applyAlignment="1">
      <alignment horizontal="center" vertical="center" wrapText="1"/>
    </xf>
    <xf numFmtId="37" fontId="37" fillId="2" borderId="14" xfId="2" applyNumberFormat="1" applyFont="1" applyFill="1" applyBorder="1" applyAlignment="1">
      <alignment horizontal="center" vertical="center" wrapText="1"/>
    </xf>
    <xf numFmtId="10" fontId="37" fillId="2" borderId="13" xfId="0" applyNumberFormat="1" applyFont="1" applyFill="1" applyBorder="1" applyAlignment="1">
      <alignment horizontal="center" vertical="center" textRotation="90" wrapText="1"/>
    </xf>
    <xf numFmtId="10" fontId="37" fillId="2" borderId="15" xfId="0" applyNumberFormat="1" applyFont="1" applyFill="1" applyBorder="1" applyAlignment="1">
      <alignment horizontal="center" vertical="center" textRotation="90" wrapText="1"/>
    </xf>
    <xf numFmtId="0" fontId="21" fillId="0" borderId="0" xfId="5" applyFont="1" applyAlignment="1">
      <alignment horizontal="center"/>
    </xf>
    <xf numFmtId="0" fontId="33" fillId="2" borderId="0" xfId="5" applyFont="1" applyFill="1" applyAlignment="1">
      <alignment horizontal="left" wrapText="1"/>
    </xf>
  </cellXfs>
  <cellStyles count="6">
    <cellStyle name="Millares 2" xfId="2"/>
    <cellStyle name="Moneda" xfId="4" builtinId="4"/>
    <cellStyle name="Normal" xfId="0" builtinId="0"/>
    <cellStyle name="Normal 3" xfId="5"/>
    <cellStyle name="Porcentaje" xfId="1" builtinId="5"/>
    <cellStyle name="Porcentual 2" xfId="3"/>
  </cellStyles>
  <dxfs count="27">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s>
  <tableStyles count="0" defaultTableStyle="TableStyleMedium2" defaultPivotStyle="PivotStyleLight16"/>
  <colors>
    <mruColors>
      <color rgb="FF66CCFF"/>
      <color rgb="FFFF9966"/>
      <color rgb="FF548FEE"/>
      <color rgb="FF518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ysClr val="windowText" lastClr="000000"/>
                </a:solidFill>
                <a:latin typeface="+mn-lt"/>
                <a:ea typeface="+mn-ea"/>
                <a:cs typeface="+mn-cs"/>
              </a:defRPr>
            </a:pPr>
            <a:r>
              <a:rPr lang="es-SV" sz="1300" b="1"/>
              <a:t>% Promedio de cumplimiento de objetivos programados en</a:t>
            </a:r>
            <a:r>
              <a:rPr lang="es-SV" sz="1300" b="1" baseline="0"/>
              <a:t> el</a:t>
            </a:r>
            <a:r>
              <a:rPr lang="es-SV" sz="1300" b="1"/>
              <a:t> POA por unidad organizativa de septiembre -diciembre  </a:t>
            </a:r>
            <a:r>
              <a:rPr lang="es-SV" sz="1300" b="1" baseline="0"/>
              <a:t>de </a:t>
            </a:r>
            <a:r>
              <a:rPr lang="es-SV" sz="1300" b="1"/>
              <a:t>2018</a:t>
            </a:r>
          </a:p>
        </c:rich>
      </c:tx>
      <c:layout>
        <c:manualLayout>
          <c:xMode val="edge"/>
          <c:yMode val="edge"/>
          <c:x val="0.14761651668541431"/>
          <c:y val="2.247701665393937E-2"/>
        </c:manualLayout>
      </c:layout>
      <c:overlay val="0"/>
      <c:spPr>
        <a:noFill/>
        <a:ln>
          <a:noFill/>
        </a:ln>
        <a:effectLst/>
      </c:spPr>
      <c:txPr>
        <a:bodyPr rot="0" spcFirstLastPara="1" vertOverflow="ellipsis" vert="horz" wrap="square" anchor="ctr" anchorCtr="1"/>
        <a:lstStyle/>
        <a:p>
          <a:pPr>
            <a:defRPr sz="1300" b="1" i="0" u="none" strike="noStrike" kern="1200" spc="0" baseline="0">
              <a:solidFill>
                <a:sysClr val="windowText" lastClr="000000"/>
              </a:solidFill>
              <a:latin typeface="+mn-lt"/>
              <a:ea typeface="+mn-ea"/>
              <a:cs typeface="+mn-cs"/>
            </a:defRPr>
          </a:pPr>
          <a:endParaRPr lang="es-SV"/>
        </a:p>
      </c:txPr>
    </c:title>
    <c:autoTitleDeleted val="0"/>
    <c:plotArea>
      <c:layout>
        <c:manualLayout>
          <c:layoutTarget val="inner"/>
          <c:xMode val="edge"/>
          <c:yMode val="edge"/>
          <c:x val="6.6570175887767355E-2"/>
          <c:y val="9.4308333214476681E-2"/>
          <c:w val="0.92136445444319448"/>
          <c:h val="0.78082354950213195"/>
        </c:manualLayout>
      </c:layout>
      <c:barChart>
        <c:barDir val="col"/>
        <c:grouping val="clustered"/>
        <c:varyColors val="0"/>
        <c:ser>
          <c:idx val="0"/>
          <c:order val="0"/>
          <c:spPr>
            <a:solidFill>
              <a:srgbClr val="00B050"/>
            </a:solidFill>
            <a:ln w="15875">
              <a:solidFill>
                <a:schemeClr val="tx1"/>
              </a:solidFill>
            </a:ln>
            <a:effectLst/>
          </c:spPr>
          <c:invertIfNegative val="0"/>
          <c:dPt>
            <c:idx val="0"/>
            <c:invertIfNegative val="0"/>
            <c:bubble3D val="0"/>
            <c:spPr>
              <a:solidFill>
                <a:srgbClr val="FF0000"/>
              </a:solidFill>
              <a:ln w="15875">
                <a:solidFill>
                  <a:schemeClr val="tx1"/>
                </a:solidFill>
              </a:ln>
              <a:effectLst/>
            </c:spPr>
          </c:dPt>
          <c:dPt>
            <c:idx val="1"/>
            <c:invertIfNegative val="0"/>
            <c:bubble3D val="0"/>
            <c:spPr>
              <a:solidFill>
                <a:srgbClr val="FFC000"/>
              </a:solidFill>
              <a:ln w="15875">
                <a:solidFill>
                  <a:schemeClr val="tx1"/>
                </a:solidFill>
              </a:ln>
              <a:effectLst/>
            </c:spPr>
          </c:dPt>
          <c:dPt>
            <c:idx val="2"/>
            <c:invertIfNegative val="0"/>
            <c:bubble3D val="0"/>
            <c:spPr>
              <a:solidFill>
                <a:srgbClr val="00B050"/>
              </a:solidFill>
              <a:ln w="15875">
                <a:solidFill>
                  <a:schemeClr val="tx1"/>
                </a:solidFill>
              </a:ln>
              <a:effectLst/>
            </c:spPr>
          </c:dPt>
          <c:dPt>
            <c:idx val="3"/>
            <c:invertIfNegative val="0"/>
            <c:bubble3D val="0"/>
            <c:spPr>
              <a:solidFill>
                <a:srgbClr val="FFC000"/>
              </a:solidFill>
              <a:ln w="15875">
                <a:solidFill>
                  <a:schemeClr val="tx1"/>
                </a:solidFill>
              </a:ln>
              <a:effectLst/>
            </c:spPr>
          </c:dPt>
          <c:dPt>
            <c:idx val="4"/>
            <c:invertIfNegative val="0"/>
            <c:bubble3D val="0"/>
            <c:spPr>
              <a:solidFill>
                <a:srgbClr val="00B050"/>
              </a:solidFill>
              <a:ln w="15875">
                <a:solidFill>
                  <a:schemeClr val="tx1"/>
                </a:solidFill>
              </a:ln>
              <a:effectLst/>
            </c:spPr>
          </c:dPt>
          <c:dPt>
            <c:idx val="6"/>
            <c:invertIfNegative val="0"/>
            <c:bubble3D val="0"/>
            <c:spPr>
              <a:solidFill>
                <a:srgbClr val="00B050"/>
              </a:solidFill>
              <a:ln w="15875">
                <a:solidFill>
                  <a:schemeClr val="tx1"/>
                </a:solidFill>
              </a:ln>
              <a:effectLst/>
            </c:spPr>
          </c:dPt>
          <c:dPt>
            <c:idx val="7"/>
            <c:invertIfNegative val="0"/>
            <c:bubble3D val="0"/>
            <c:spPr>
              <a:solidFill>
                <a:srgbClr val="FFC000"/>
              </a:solidFill>
              <a:ln w="15875">
                <a:solidFill>
                  <a:schemeClr val="tx1"/>
                </a:solidFill>
              </a:ln>
              <a:effectLst/>
            </c:spPr>
          </c:dPt>
          <c:dPt>
            <c:idx val="8"/>
            <c:invertIfNegative val="0"/>
            <c:bubble3D val="0"/>
            <c:spPr>
              <a:solidFill>
                <a:srgbClr val="00B050"/>
              </a:solidFill>
              <a:ln w="15875">
                <a:solidFill>
                  <a:schemeClr val="tx1"/>
                </a:solidFill>
              </a:ln>
              <a:effectLst/>
            </c:spPr>
          </c:dPt>
          <c:dLbls>
            <c:dLbl>
              <c:idx val="0"/>
              <c:layout>
                <c:manualLayout>
                  <c:x val="4.7619047619047727E-3"/>
                  <c:y val="4.0388780804275449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2.1825144699462845E-17"/>
                  <c:y val="-8.5673171403008528E-4"/>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0"/>
                  <c:y val="4.0388780804275449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5"/>
              <c:layout>
                <c:manualLayout>
                  <c:x val="-1.1904761904761906E-3"/>
                  <c:y val="-8.5673171403008528E-4"/>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6"/>
              <c:layout>
                <c:manualLayout>
                  <c:x val="1.1911323584551058E-3"/>
                  <c:y val="3.316101043844233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7"/>
              <c:layout>
                <c:manualLayout>
                  <c:x val="1.1904761904761032E-3"/>
                  <c:y val="-8.5673171403008528E-4"/>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8"/>
              <c:layout>
                <c:manualLayout>
                  <c:x val="-1.1904761904763651E-3"/>
                  <c:y val="1.5910731831987074E-3"/>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s-S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'promedio trimestre sept.dic'!$D$5:$D$13</c:f>
              <c:strCache>
                <c:ptCount val="9"/>
                <c:pt idx="0">
                  <c:v>Auditoria Interna</c:v>
                </c:pt>
                <c:pt idx="1">
                  <c:v>UTL</c:v>
                </c:pt>
                <c:pt idx="2">
                  <c:v>UAIP</c:v>
                </c:pt>
                <c:pt idx="3">
                  <c:v>UACI</c:v>
                </c:pt>
                <c:pt idx="4">
                  <c:v>Depto. de Informática</c:v>
                </c:pt>
                <c:pt idx="5">
                  <c:v>GDI</c:v>
                </c:pt>
                <c:pt idx="6">
                  <c:v>UFI</c:v>
                </c:pt>
                <c:pt idx="7">
                  <c:v>Gerencia Comercial</c:v>
                </c:pt>
                <c:pt idx="8">
                  <c:v>Gerencia Administrativa</c:v>
                </c:pt>
              </c:strCache>
            </c:strRef>
          </c:cat>
          <c:val>
            <c:numRef>
              <c:f>'promedio trimestre sept.dic'!$G$5:$G$13</c:f>
              <c:numCache>
                <c:formatCode>0.00%</c:formatCode>
                <c:ptCount val="9"/>
                <c:pt idx="0">
                  <c:v>0.42269076305220876</c:v>
                </c:pt>
                <c:pt idx="1">
                  <c:v>0</c:v>
                </c:pt>
                <c:pt idx="2">
                  <c:v>0</c:v>
                </c:pt>
                <c:pt idx="3">
                  <c:v>0</c:v>
                </c:pt>
                <c:pt idx="4">
                  <c:v>1</c:v>
                </c:pt>
                <c:pt idx="5">
                  <c:v>0.86801134884222075</c:v>
                </c:pt>
                <c:pt idx="6">
                  <c:v>1</c:v>
                </c:pt>
                <c:pt idx="7">
                  <c:v>0</c:v>
                </c:pt>
                <c:pt idx="8">
                  <c:v>1</c:v>
                </c:pt>
              </c:numCache>
            </c:numRef>
          </c:val>
        </c:ser>
        <c:dLbls>
          <c:showLegendKey val="0"/>
          <c:showVal val="0"/>
          <c:showCatName val="0"/>
          <c:showSerName val="0"/>
          <c:showPercent val="0"/>
          <c:showBubbleSize val="0"/>
        </c:dLbls>
        <c:gapWidth val="14"/>
        <c:overlap val="40"/>
        <c:axId val="331519736"/>
        <c:axId val="331520128"/>
      </c:barChart>
      <c:catAx>
        <c:axId val="331519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SV"/>
          </a:p>
        </c:txPr>
        <c:crossAx val="331520128"/>
        <c:crosses val="autoZero"/>
        <c:auto val="1"/>
        <c:lblAlgn val="ctr"/>
        <c:lblOffset val="100"/>
        <c:noMultiLvlLbl val="0"/>
      </c:catAx>
      <c:valAx>
        <c:axId val="331520128"/>
        <c:scaling>
          <c:orientation val="minMax"/>
          <c:max val="1.1000000000000001"/>
          <c:min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s-SV"/>
          </a:p>
        </c:txPr>
        <c:crossAx val="331519736"/>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95249</xdr:colOff>
      <xdr:row>1</xdr:row>
      <xdr:rowOff>-1</xdr:rowOff>
    </xdr:from>
    <xdr:to>
      <xdr:col>7</xdr:col>
      <xdr:colOff>2119312</xdr:colOff>
      <xdr:row>4</xdr:row>
      <xdr:rowOff>166687</xdr:rowOff>
    </xdr:to>
    <xdr:pic>
      <xdr:nvPicPr>
        <xdr:cNvPr id="4" name="Imagen 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7614"/>
        <a:stretch/>
      </xdr:blipFill>
      <xdr:spPr bwMode="auto">
        <a:xfrm>
          <a:off x="428624" y="95249"/>
          <a:ext cx="5095876" cy="14763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11206</xdr:colOff>
      <xdr:row>16</xdr:row>
      <xdr:rowOff>100852</xdr:rowOff>
    </xdr:from>
    <xdr:to>
      <xdr:col>14</xdr:col>
      <xdr:colOff>493059</xdr:colOff>
      <xdr:row>49</xdr:row>
      <xdr:rowOff>112057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694228</xdr:colOff>
      <xdr:row>37</xdr:row>
      <xdr:rowOff>35858</xdr:rowOff>
    </xdr:from>
    <xdr:to>
      <xdr:col>5</xdr:col>
      <xdr:colOff>770965</xdr:colOff>
      <xdr:row>46</xdr:row>
      <xdr:rowOff>6038</xdr:rowOff>
    </xdr:to>
    <xdr:sp macro="" textlink="">
      <xdr:nvSpPr>
        <xdr:cNvPr id="3" name="CuadroTexto 2"/>
        <xdr:cNvSpPr txBox="1"/>
      </xdr:nvSpPr>
      <xdr:spPr>
        <a:xfrm>
          <a:off x="3708610" y="7846358"/>
          <a:ext cx="1062855" cy="1382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SV" sz="1100" b="1">
              <a:solidFill>
                <a:sysClr val="windowText" lastClr="000000"/>
              </a:solidFill>
            </a:rPr>
            <a:t>La Unidad Técnica Legal </a:t>
          </a:r>
          <a:r>
            <a:rPr lang="es-SV" sz="1100" b="1" baseline="0">
              <a:solidFill>
                <a:sysClr val="windowText" lastClr="000000"/>
              </a:solidFill>
            </a:rPr>
            <a:t> no </a:t>
          </a:r>
          <a:r>
            <a:rPr lang="es-SV" sz="1100" b="1">
              <a:solidFill>
                <a:sysClr val="windowText" lastClr="000000"/>
              </a:solidFill>
            </a:rPr>
            <a:t>presentó el Informe de julio y agosto de 2018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4"/>
  <sheetViews>
    <sheetView view="pageBreakPreview" topLeftCell="I44" zoomScale="40" zoomScaleNormal="70" zoomScaleSheetLayoutView="40" workbookViewId="0">
      <selection activeCell="Q47" sqref="Q47"/>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4.28515625" style="6" customWidth="1"/>
    <col min="16" max="16" width="16.85546875" style="6" customWidth="1"/>
    <col min="17" max="17" width="44.7109375" style="6" customWidth="1"/>
    <col min="18" max="18" width="34" style="6" customWidth="1"/>
    <col min="19" max="19" width="26.425781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8.570312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244" t="s">
        <v>0</v>
      </c>
      <c r="D2" s="244"/>
      <c r="E2" s="244"/>
      <c r="F2" s="244"/>
      <c r="G2" s="244"/>
      <c r="H2" s="244"/>
      <c r="I2" s="244"/>
      <c r="J2" s="244"/>
      <c r="K2" s="244"/>
      <c r="L2" s="244"/>
      <c r="M2" s="244"/>
      <c r="N2" s="244"/>
      <c r="O2" s="244"/>
      <c r="P2" s="244"/>
      <c r="Q2" s="244"/>
      <c r="R2" s="244"/>
      <c r="S2" s="244"/>
      <c r="T2" s="244"/>
      <c r="U2" s="244"/>
      <c r="V2" s="244"/>
      <c r="W2" s="244"/>
      <c r="X2" s="244"/>
      <c r="Y2" s="244"/>
      <c r="Z2" s="244"/>
      <c r="AA2" s="244"/>
      <c r="AB2" s="7"/>
      <c r="AC2" s="7"/>
      <c r="AD2" s="7"/>
      <c r="AE2" s="1"/>
    </row>
    <row r="3" spans="3:35" ht="27" customHeight="1" x14ac:dyDescent="0.25">
      <c r="C3" s="244" t="s">
        <v>384</v>
      </c>
      <c r="D3" s="244"/>
      <c r="E3" s="244"/>
      <c r="F3" s="244"/>
      <c r="G3" s="244"/>
      <c r="H3" s="244"/>
      <c r="I3" s="244"/>
      <c r="J3" s="244"/>
      <c r="K3" s="244"/>
      <c r="L3" s="244"/>
      <c r="M3" s="244"/>
      <c r="N3" s="244"/>
      <c r="O3" s="244"/>
      <c r="P3" s="244"/>
      <c r="Q3" s="244"/>
      <c r="R3" s="244"/>
      <c r="S3" s="244"/>
      <c r="T3" s="244"/>
      <c r="U3" s="244"/>
      <c r="V3" s="244"/>
      <c r="W3" s="244"/>
      <c r="X3" s="244"/>
      <c r="Y3" s="244"/>
      <c r="Z3" s="244"/>
      <c r="AA3" s="244"/>
      <c r="AB3" s="7"/>
      <c r="AC3" s="7"/>
      <c r="AD3" s="7"/>
      <c r="AE3" s="1"/>
    </row>
    <row r="4" spans="3:35" ht="36" customHeight="1" x14ac:dyDescent="0.25">
      <c r="C4" s="245" t="s">
        <v>357</v>
      </c>
      <c r="D4" s="245"/>
      <c r="E4" s="245"/>
      <c r="F4" s="245"/>
      <c r="G4" s="245"/>
      <c r="H4" s="245"/>
      <c r="I4" s="245"/>
      <c r="J4" s="245"/>
      <c r="K4" s="245"/>
      <c r="L4" s="245"/>
      <c r="M4" s="245"/>
      <c r="N4" s="245"/>
      <c r="O4" s="245"/>
      <c r="P4" s="245"/>
      <c r="Q4" s="245"/>
      <c r="R4" s="245"/>
      <c r="S4" s="245"/>
      <c r="T4" s="245"/>
      <c r="U4" s="245"/>
      <c r="V4" s="245"/>
      <c r="W4" s="245"/>
      <c r="X4" s="245"/>
      <c r="Y4" s="245"/>
      <c r="Z4" s="245"/>
      <c r="AA4" s="245"/>
      <c r="AB4" s="169"/>
      <c r="AC4" s="169"/>
      <c r="AD4" s="169"/>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246" t="s">
        <v>1</v>
      </c>
      <c r="D6" s="247"/>
      <c r="E6" s="247"/>
      <c r="F6" s="247"/>
      <c r="G6" s="247"/>
      <c r="H6" s="247"/>
      <c r="I6" s="247"/>
      <c r="J6" s="247"/>
      <c r="K6" s="247"/>
      <c r="L6" s="247"/>
      <c r="M6" s="248"/>
      <c r="N6" s="249" t="s">
        <v>2</v>
      </c>
      <c r="O6" s="250"/>
      <c r="P6" s="250"/>
      <c r="Q6" s="250"/>
      <c r="R6" s="250"/>
      <c r="S6" s="250"/>
      <c r="T6" s="250"/>
      <c r="U6" s="250"/>
      <c r="V6" s="250"/>
      <c r="W6" s="250"/>
      <c r="X6" s="250"/>
      <c r="Y6" s="250"/>
      <c r="Z6" s="250"/>
      <c r="AA6" s="251"/>
      <c r="AB6" s="9"/>
      <c r="AC6" s="9"/>
      <c r="AD6" s="9"/>
      <c r="AE6" s="1"/>
    </row>
    <row r="7" spans="3:35" ht="56.25" customHeight="1" thickBot="1" x14ac:dyDescent="0.3">
      <c r="C7" s="252" t="s">
        <v>3</v>
      </c>
      <c r="D7" s="252" t="s">
        <v>4</v>
      </c>
      <c r="E7" s="254" t="s">
        <v>5</v>
      </c>
      <c r="F7" s="255"/>
      <c r="G7" s="256" t="s">
        <v>6</v>
      </c>
      <c r="H7" s="257"/>
      <c r="I7" s="258"/>
      <c r="J7" s="256" t="s">
        <v>7</v>
      </c>
      <c r="K7" s="257"/>
      <c r="L7" s="257"/>
      <c r="M7" s="258"/>
      <c r="N7" s="265" t="s">
        <v>6</v>
      </c>
      <c r="O7" s="267"/>
      <c r="P7" s="265" t="s">
        <v>7</v>
      </c>
      <c r="Q7" s="267"/>
      <c r="R7" s="261" t="s">
        <v>8</v>
      </c>
      <c r="S7" s="263" t="s">
        <v>9</v>
      </c>
      <c r="T7" s="265" t="s">
        <v>359</v>
      </c>
      <c r="U7" s="266"/>
      <c r="V7" s="267"/>
      <c r="W7" s="268" t="s">
        <v>358</v>
      </c>
      <c r="X7" s="269"/>
      <c r="Y7" s="270"/>
      <c r="Z7" s="259" t="s">
        <v>266</v>
      </c>
      <c r="AA7" s="259" t="s">
        <v>267</v>
      </c>
      <c r="AB7" s="10"/>
      <c r="AC7" s="10"/>
      <c r="AD7" s="10"/>
      <c r="AE7" s="1"/>
    </row>
    <row r="8" spans="3:35" ht="79.5" customHeight="1" thickBot="1" x14ac:dyDescent="0.3">
      <c r="C8" s="253"/>
      <c r="D8" s="253"/>
      <c r="E8" s="66" t="s">
        <v>10</v>
      </c>
      <c r="F8" s="66" t="s">
        <v>11</v>
      </c>
      <c r="G8" s="66" t="s">
        <v>10</v>
      </c>
      <c r="H8" s="71" t="s">
        <v>12</v>
      </c>
      <c r="I8" s="66" t="s">
        <v>13</v>
      </c>
      <c r="J8" s="66" t="s">
        <v>10</v>
      </c>
      <c r="K8" s="71" t="s">
        <v>14</v>
      </c>
      <c r="L8" s="66" t="s">
        <v>15</v>
      </c>
      <c r="M8" s="66" t="s">
        <v>16</v>
      </c>
      <c r="N8" s="148" t="s">
        <v>17</v>
      </c>
      <c r="O8" s="149" t="s">
        <v>12</v>
      </c>
      <c r="P8" s="67" t="s">
        <v>17</v>
      </c>
      <c r="Q8" s="149" t="s">
        <v>14</v>
      </c>
      <c r="R8" s="262"/>
      <c r="S8" s="264"/>
      <c r="T8" s="68" t="s">
        <v>360</v>
      </c>
      <c r="U8" s="68" t="s">
        <v>361</v>
      </c>
      <c r="V8" s="68" t="s">
        <v>265</v>
      </c>
      <c r="W8" s="68" t="s">
        <v>362</v>
      </c>
      <c r="X8" s="68" t="s">
        <v>363</v>
      </c>
      <c r="Y8" s="68" t="s">
        <v>265</v>
      </c>
      <c r="Z8" s="260"/>
      <c r="AA8" s="260"/>
      <c r="AB8" s="10"/>
      <c r="AC8" s="10"/>
      <c r="AD8" s="10"/>
      <c r="AE8" s="1"/>
    </row>
    <row r="9" spans="3:35" ht="147" customHeight="1" thickBot="1" x14ac:dyDescent="0.3">
      <c r="C9" s="298" t="s">
        <v>18</v>
      </c>
      <c r="D9" s="301" t="s">
        <v>19</v>
      </c>
      <c r="E9" s="304">
        <v>1</v>
      </c>
      <c r="F9" s="306" t="s">
        <v>20</v>
      </c>
      <c r="G9" s="96">
        <v>101</v>
      </c>
      <c r="H9" s="97" t="s">
        <v>21</v>
      </c>
      <c r="I9" s="98">
        <v>0.6</v>
      </c>
      <c r="J9" s="140" t="s">
        <v>22</v>
      </c>
      <c r="K9" s="97" t="s">
        <v>23</v>
      </c>
      <c r="L9" s="99" t="s">
        <v>24</v>
      </c>
      <c r="M9" s="100">
        <v>1</v>
      </c>
      <c r="N9" s="152" t="s">
        <v>25</v>
      </c>
      <c r="O9" s="101" t="s">
        <v>26</v>
      </c>
      <c r="P9" s="44" t="s">
        <v>27</v>
      </c>
      <c r="Q9" s="33" t="s">
        <v>299</v>
      </c>
      <c r="R9" s="34" t="s">
        <v>300</v>
      </c>
      <c r="S9" s="34" t="s">
        <v>28</v>
      </c>
      <c r="T9" s="95">
        <v>177033</v>
      </c>
      <c r="U9" s="93">
        <f>-182849-95774</f>
        <v>-278623</v>
      </c>
      <c r="V9" s="50">
        <f>+U9/T9</f>
        <v>-1.5738478136844543</v>
      </c>
      <c r="W9" s="69">
        <f>493618+T9</f>
        <v>670651</v>
      </c>
      <c r="X9" s="70">
        <f>401906+U9</f>
        <v>123283</v>
      </c>
      <c r="Y9" s="50">
        <f>+X9/W9</f>
        <v>0.18382586471950388</v>
      </c>
      <c r="Z9" s="109" t="s">
        <v>442</v>
      </c>
      <c r="AA9" s="115" t="s">
        <v>440</v>
      </c>
      <c r="AB9" s="11"/>
      <c r="AC9" s="12"/>
      <c r="AD9" s="92"/>
      <c r="AE9" s="1"/>
    </row>
    <row r="10" spans="3:35" ht="81" customHeight="1" thickBot="1" x14ac:dyDescent="0.3">
      <c r="C10" s="299"/>
      <c r="D10" s="302"/>
      <c r="E10" s="305"/>
      <c r="F10" s="307"/>
      <c r="G10" s="273">
        <v>102</v>
      </c>
      <c r="H10" s="276" t="s">
        <v>29</v>
      </c>
      <c r="I10" s="279">
        <v>0.2</v>
      </c>
      <c r="J10" s="140" t="s">
        <v>30</v>
      </c>
      <c r="K10" s="145" t="s">
        <v>31</v>
      </c>
      <c r="L10" s="150" t="s">
        <v>24</v>
      </c>
      <c r="M10" s="152">
        <v>0.4</v>
      </c>
      <c r="N10" s="288" t="s">
        <v>32</v>
      </c>
      <c r="O10" s="308" t="s">
        <v>33</v>
      </c>
      <c r="P10" s="288" t="s">
        <v>34</v>
      </c>
      <c r="Q10" s="308" t="s">
        <v>323</v>
      </c>
      <c r="R10" s="296" t="s">
        <v>298</v>
      </c>
      <c r="S10" s="296" t="s">
        <v>28</v>
      </c>
      <c r="T10" s="290">
        <v>20000</v>
      </c>
      <c r="U10" s="290">
        <f>43571+26401</f>
        <v>69972</v>
      </c>
      <c r="V10" s="292">
        <f t="shared" ref="V10:V68" si="0">+U10/T10</f>
        <v>3.4986000000000002</v>
      </c>
      <c r="W10" s="290">
        <f>85000+T10</f>
        <v>105000</v>
      </c>
      <c r="X10" s="294">
        <f>40305+U10</f>
        <v>110277</v>
      </c>
      <c r="Y10" s="292">
        <f t="shared" ref="Y10:Y70" si="1">+X10/W10</f>
        <v>1.0502571428571428</v>
      </c>
      <c r="Z10" s="271" t="s">
        <v>441</v>
      </c>
      <c r="AA10" s="361" t="s">
        <v>292</v>
      </c>
      <c r="AB10" s="11"/>
      <c r="AC10" s="12"/>
      <c r="AD10" s="13"/>
      <c r="AE10" s="1"/>
    </row>
    <row r="11" spans="3:35" ht="81.75" customHeight="1" thickBot="1" x14ac:dyDescent="0.3">
      <c r="C11" s="299"/>
      <c r="D11" s="302"/>
      <c r="E11" s="305"/>
      <c r="F11" s="307"/>
      <c r="G11" s="274"/>
      <c r="H11" s="277"/>
      <c r="I11" s="280"/>
      <c r="J11" s="14" t="s">
        <v>35</v>
      </c>
      <c r="K11" s="47" t="s">
        <v>36</v>
      </c>
      <c r="L11" s="150" t="s">
        <v>24</v>
      </c>
      <c r="M11" s="44">
        <v>0.3</v>
      </c>
      <c r="N11" s="289"/>
      <c r="O11" s="309"/>
      <c r="P11" s="289"/>
      <c r="Q11" s="309"/>
      <c r="R11" s="297"/>
      <c r="S11" s="297"/>
      <c r="T11" s="291"/>
      <c r="U11" s="291"/>
      <c r="V11" s="293"/>
      <c r="W11" s="291"/>
      <c r="X11" s="295"/>
      <c r="Y11" s="293"/>
      <c r="Z11" s="272"/>
      <c r="AA11" s="362"/>
      <c r="AB11" s="11"/>
      <c r="AC11" s="12"/>
      <c r="AD11" s="12"/>
      <c r="AE11" s="1"/>
    </row>
    <row r="12" spans="3:35" ht="228" customHeight="1" thickBot="1" x14ac:dyDescent="0.3">
      <c r="C12" s="299"/>
      <c r="D12" s="302"/>
      <c r="E12" s="305"/>
      <c r="F12" s="307"/>
      <c r="G12" s="275"/>
      <c r="H12" s="278"/>
      <c r="I12" s="281"/>
      <c r="J12" s="14" t="s">
        <v>37</v>
      </c>
      <c r="K12" s="47" t="s">
        <v>38</v>
      </c>
      <c r="L12" s="72" t="s">
        <v>24</v>
      </c>
      <c r="M12" s="44">
        <v>0.3</v>
      </c>
      <c r="N12" s="44" t="s">
        <v>39</v>
      </c>
      <c r="O12" s="33" t="s">
        <v>301</v>
      </c>
      <c r="P12" s="44" t="s">
        <v>40</v>
      </c>
      <c r="Q12" s="33" t="s">
        <v>301</v>
      </c>
      <c r="R12" s="34" t="s">
        <v>41</v>
      </c>
      <c r="S12" s="34" t="s">
        <v>42</v>
      </c>
      <c r="T12" s="36">
        <v>1</v>
      </c>
      <c r="U12" s="36">
        <v>0</v>
      </c>
      <c r="V12" s="50">
        <f t="shared" si="0"/>
        <v>0</v>
      </c>
      <c r="W12" s="36">
        <f>2+T12</f>
        <v>3</v>
      </c>
      <c r="X12" s="36">
        <f>2+U12</f>
        <v>2</v>
      </c>
      <c r="Y12" s="50">
        <f t="shared" si="1"/>
        <v>0.66666666666666663</v>
      </c>
      <c r="Z12" s="110" t="s">
        <v>365</v>
      </c>
      <c r="AA12" s="115" t="s">
        <v>366</v>
      </c>
      <c r="AB12" s="11"/>
      <c r="AC12" s="12"/>
      <c r="AD12" s="12"/>
      <c r="AE12" s="1"/>
    </row>
    <row r="13" spans="3:35" ht="150.75" customHeight="1" thickBot="1" x14ac:dyDescent="0.3">
      <c r="C13" s="299"/>
      <c r="D13" s="302"/>
      <c r="E13" s="305"/>
      <c r="F13" s="307"/>
      <c r="G13" s="273">
        <v>103</v>
      </c>
      <c r="H13" s="276" t="s">
        <v>43</v>
      </c>
      <c r="I13" s="279">
        <v>0.2</v>
      </c>
      <c r="J13" s="282" t="s">
        <v>44</v>
      </c>
      <c r="K13" s="284" t="s">
        <v>45</v>
      </c>
      <c r="L13" s="286" t="s">
        <v>24</v>
      </c>
      <c r="M13" s="288">
        <v>0.5</v>
      </c>
      <c r="N13" s="102" t="s">
        <v>106</v>
      </c>
      <c r="O13" s="33" t="s">
        <v>316</v>
      </c>
      <c r="P13" s="44" t="s">
        <v>108</v>
      </c>
      <c r="Q13" s="33" t="s">
        <v>321</v>
      </c>
      <c r="R13" s="49" t="s">
        <v>317</v>
      </c>
      <c r="S13" s="34" t="s">
        <v>42</v>
      </c>
      <c r="T13" s="36">
        <v>0</v>
      </c>
      <c r="U13" s="36">
        <v>0</v>
      </c>
      <c r="V13" s="50" t="e">
        <f t="shared" si="0"/>
        <v>#DIV/0!</v>
      </c>
      <c r="W13" s="36">
        <f>+T13</f>
        <v>0</v>
      </c>
      <c r="X13" s="36">
        <f>+U13</f>
        <v>0</v>
      </c>
      <c r="Y13" s="50" t="e">
        <f t="shared" si="1"/>
        <v>#DIV/0!</v>
      </c>
      <c r="Z13" s="110" t="s">
        <v>383</v>
      </c>
      <c r="AA13" s="319" t="s">
        <v>401</v>
      </c>
      <c r="AB13" s="11"/>
      <c r="AC13" s="12"/>
      <c r="AD13" s="12"/>
      <c r="AE13" s="76"/>
      <c r="AG13" s="77"/>
      <c r="AI13" s="77"/>
    </row>
    <row r="14" spans="3:35" ht="132" customHeight="1" thickBot="1" x14ac:dyDescent="0.3">
      <c r="C14" s="299"/>
      <c r="D14" s="302"/>
      <c r="E14" s="305"/>
      <c r="F14" s="307"/>
      <c r="G14" s="274"/>
      <c r="H14" s="277"/>
      <c r="I14" s="280"/>
      <c r="J14" s="283"/>
      <c r="K14" s="285"/>
      <c r="L14" s="287"/>
      <c r="M14" s="289"/>
      <c r="N14" s="315" t="s">
        <v>46</v>
      </c>
      <c r="O14" s="314" t="s">
        <v>47</v>
      </c>
      <c r="P14" s="153" t="s">
        <v>48</v>
      </c>
      <c r="Q14" s="155" t="s">
        <v>322</v>
      </c>
      <c r="R14" s="49" t="s">
        <v>303</v>
      </c>
      <c r="S14" s="34" t="s">
        <v>49</v>
      </c>
      <c r="T14" s="36">
        <v>21</v>
      </c>
      <c r="U14" s="36">
        <v>0</v>
      </c>
      <c r="V14" s="50">
        <f>+U14/T14</f>
        <v>0</v>
      </c>
      <c r="W14" s="36">
        <f>20+T14</f>
        <v>41</v>
      </c>
      <c r="X14" s="36">
        <f>+U14</f>
        <v>0</v>
      </c>
      <c r="Y14" s="50">
        <f>+X14/W14</f>
        <v>0</v>
      </c>
      <c r="Z14" s="322" t="s">
        <v>402</v>
      </c>
      <c r="AA14" s="320"/>
      <c r="AB14" s="11"/>
      <c r="AC14" s="12"/>
      <c r="AD14" s="12"/>
      <c r="AE14" s="76"/>
      <c r="AG14" s="77"/>
      <c r="AH14" s="77"/>
      <c r="AI14" s="77"/>
    </row>
    <row r="15" spans="3:35" ht="117" customHeight="1" thickBot="1" x14ac:dyDescent="0.3">
      <c r="C15" s="299"/>
      <c r="D15" s="302"/>
      <c r="E15" s="305"/>
      <c r="F15" s="307"/>
      <c r="G15" s="275"/>
      <c r="H15" s="278"/>
      <c r="I15" s="281"/>
      <c r="J15" s="140" t="s">
        <v>50</v>
      </c>
      <c r="K15" s="145" t="s">
        <v>285</v>
      </c>
      <c r="L15" s="150" t="s">
        <v>24</v>
      </c>
      <c r="M15" s="152">
        <v>0.5</v>
      </c>
      <c r="N15" s="289"/>
      <c r="O15" s="309"/>
      <c r="P15" s="44" t="s">
        <v>51</v>
      </c>
      <c r="Q15" s="33" t="s">
        <v>302</v>
      </c>
      <c r="R15" s="34" t="s">
        <v>304</v>
      </c>
      <c r="S15" s="34" t="s">
        <v>42</v>
      </c>
      <c r="T15" s="37">
        <v>950</v>
      </c>
      <c r="U15" s="36">
        <v>0</v>
      </c>
      <c r="V15" s="50">
        <f t="shared" si="0"/>
        <v>0</v>
      </c>
      <c r="W15" s="37">
        <f>900+T15</f>
        <v>1850</v>
      </c>
      <c r="X15" s="36">
        <f>+U15</f>
        <v>0</v>
      </c>
      <c r="Y15" s="50">
        <f t="shared" si="1"/>
        <v>0</v>
      </c>
      <c r="Z15" s="323"/>
      <c r="AA15" s="321"/>
      <c r="AB15" s="11"/>
      <c r="AC15" s="12"/>
      <c r="AD15" s="12"/>
      <c r="AE15" s="1"/>
    </row>
    <row r="16" spans="3:35" ht="108.75" customHeight="1" thickBot="1" x14ac:dyDescent="0.3">
      <c r="C16" s="299"/>
      <c r="D16" s="302"/>
      <c r="E16" s="324">
        <v>2</v>
      </c>
      <c r="F16" s="327" t="s">
        <v>52</v>
      </c>
      <c r="G16" s="329">
        <v>201</v>
      </c>
      <c r="H16" s="276" t="s">
        <v>281</v>
      </c>
      <c r="I16" s="312">
        <v>0.3</v>
      </c>
      <c r="J16" s="15" t="s">
        <v>53</v>
      </c>
      <c r="K16" s="47" t="s">
        <v>54</v>
      </c>
      <c r="L16" s="73" t="s">
        <v>24</v>
      </c>
      <c r="M16" s="44">
        <v>0.5</v>
      </c>
      <c r="N16" s="331" t="s">
        <v>55</v>
      </c>
      <c r="O16" s="308" t="s">
        <v>56</v>
      </c>
      <c r="P16" s="288" t="s">
        <v>57</v>
      </c>
      <c r="Q16" s="308" t="s">
        <v>343</v>
      </c>
      <c r="R16" s="296" t="s">
        <v>58</v>
      </c>
      <c r="S16" s="296" t="s">
        <v>42</v>
      </c>
      <c r="T16" s="316">
        <v>1</v>
      </c>
      <c r="U16" s="316">
        <v>1</v>
      </c>
      <c r="V16" s="292">
        <f t="shared" si="0"/>
        <v>1</v>
      </c>
      <c r="W16" s="316">
        <f>+T16</f>
        <v>1</v>
      </c>
      <c r="X16" s="316">
        <f>+U16</f>
        <v>1</v>
      </c>
      <c r="Y16" s="292">
        <f t="shared" si="1"/>
        <v>1</v>
      </c>
      <c r="Z16" s="339" t="s">
        <v>403</v>
      </c>
      <c r="AA16" s="319" t="s">
        <v>404</v>
      </c>
      <c r="AB16" s="11"/>
      <c r="AC16" s="12"/>
      <c r="AD16" s="13"/>
      <c r="AE16" s="1"/>
    </row>
    <row r="17" spans="3:33" ht="66" customHeight="1" thickBot="1" x14ac:dyDescent="0.3">
      <c r="C17" s="299"/>
      <c r="D17" s="302"/>
      <c r="E17" s="325"/>
      <c r="F17" s="311"/>
      <c r="G17" s="330"/>
      <c r="H17" s="278"/>
      <c r="I17" s="313"/>
      <c r="J17" s="16" t="s">
        <v>59</v>
      </c>
      <c r="K17" s="145" t="s">
        <v>60</v>
      </c>
      <c r="L17" s="74" t="s">
        <v>24</v>
      </c>
      <c r="M17" s="152">
        <v>0.5</v>
      </c>
      <c r="N17" s="332"/>
      <c r="O17" s="314"/>
      <c r="P17" s="315"/>
      <c r="Q17" s="314"/>
      <c r="R17" s="342"/>
      <c r="S17" s="342"/>
      <c r="T17" s="317"/>
      <c r="U17" s="317"/>
      <c r="V17" s="338"/>
      <c r="W17" s="317"/>
      <c r="X17" s="317"/>
      <c r="Y17" s="338"/>
      <c r="Z17" s="340"/>
      <c r="AA17" s="334"/>
      <c r="AB17" s="11"/>
      <c r="AC17" s="12"/>
      <c r="AD17" s="13"/>
      <c r="AE17" s="1"/>
    </row>
    <row r="18" spans="3:33" ht="54.75" customHeight="1" thickBot="1" x14ac:dyDescent="0.3">
      <c r="C18" s="299"/>
      <c r="D18" s="302"/>
      <c r="E18" s="325"/>
      <c r="F18" s="311"/>
      <c r="G18" s="329">
        <v>202</v>
      </c>
      <c r="H18" s="276" t="s">
        <v>279</v>
      </c>
      <c r="I18" s="312">
        <v>0.3</v>
      </c>
      <c r="J18" s="16" t="s">
        <v>61</v>
      </c>
      <c r="K18" s="145" t="s">
        <v>62</v>
      </c>
      <c r="L18" s="74" t="s">
        <v>24</v>
      </c>
      <c r="M18" s="152">
        <v>0.5</v>
      </c>
      <c r="N18" s="332"/>
      <c r="O18" s="314"/>
      <c r="P18" s="315"/>
      <c r="Q18" s="314"/>
      <c r="R18" s="342"/>
      <c r="S18" s="342"/>
      <c r="T18" s="317"/>
      <c r="U18" s="317"/>
      <c r="V18" s="338"/>
      <c r="W18" s="317"/>
      <c r="X18" s="317"/>
      <c r="Y18" s="338"/>
      <c r="Z18" s="340"/>
      <c r="AA18" s="334"/>
      <c r="AB18" s="11"/>
      <c r="AC18" s="12"/>
      <c r="AD18" s="13"/>
      <c r="AE18" s="1"/>
    </row>
    <row r="19" spans="3:33" ht="88.5" customHeight="1" thickBot="1" x14ac:dyDescent="0.3">
      <c r="C19" s="299"/>
      <c r="D19" s="302"/>
      <c r="E19" s="325"/>
      <c r="F19" s="311"/>
      <c r="G19" s="330"/>
      <c r="H19" s="278"/>
      <c r="I19" s="313"/>
      <c r="J19" s="15" t="s">
        <v>63</v>
      </c>
      <c r="K19" s="47" t="s">
        <v>64</v>
      </c>
      <c r="L19" s="73" t="s">
        <v>24</v>
      </c>
      <c r="M19" s="44">
        <v>0.5</v>
      </c>
      <c r="N19" s="332"/>
      <c r="O19" s="314"/>
      <c r="P19" s="315"/>
      <c r="Q19" s="314"/>
      <c r="R19" s="342"/>
      <c r="S19" s="342"/>
      <c r="T19" s="317"/>
      <c r="U19" s="317"/>
      <c r="V19" s="338"/>
      <c r="W19" s="317"/>
      <c r="X19" s="317"/>
      <c r="Y19" s="338"/>
      <c r="Z19" s="340"/>
      <c r="AA19" s="334"/>
      <c r="AB19" s="11"/>
      <c r="AC19" s="12"/>
      <c r="AD19" s="17"/>
      <c r="AE19" s="1"/>
    </row>
    <row r="20" spans="3:33" ht="66" customHeight="1" thickBot="1" x14ac:dyDescent="0.3">
      <c r="C20" s="299"/>
      <c r="D20" s="302"/>
      <c r="E20" s="325"/>
      <c r="F20" s="311"/>
      <c r="G20" s="329">
        <v>203</v>
      </c>
      <c r="H20" s="276" t="s">
        <v>280</v>
      </c>
      <c r="I20" s="312">
        <v>0.2</v>
      </c>
      <c r="J20" s="15" t="s">
        <v>65</v>
      </c>
      <c r="K20" s="47" t="s">
        <v>66</v>
      </c>
      <c r="L20" s="73" t="s">
        <v>24</v>
      </c>
      <c r="M20" s="44">
        <v>0.4</v>
      </c>
      <c r="N20" s="332"/>
      <c r="O20" s="314"/>
      <c r="P20" s="315"/>
      <c r="Q20" s="314"/>
      <c r="R20" s="342"/>
      <c r="S20" s="342"/>
      <c r="T20" s="317"/>
      <c r="U20" s="317"/>
      <c r="V20" s="338"/>
      <c r="W20" s="317"/>
      <c r="X20" s="317"/>
      <c r="Y20" s="338"/>
      <c r="Z20" s="340"/>
      <c r="AA20" s="334"/>
      <c r="AB20" s="11"/>
      <c r="AC20" s="12"/>
      <c r="AD20" s="12"/>
      <c r="AE20" s="1"/>
    </row>
    <row r="21" spans="3:33" ht="79.5" customHeight="1" thickBot="1" x14ac:dyDescent="0.3">
      <c r="C21" s="299"/>
      <c r="D21" s="302"/>
      <c r="E21" s="325"/>
      <c r="F21" s="311"/>
      <c r="G21" s="336"/>
      <c r="H21" s="277"/>
      <c r="I21" s="337"/>
      <c r="J21" s="15" t="s">
        <v>67</v>
      </c>
      <c r="K21" s="47" t="s">
        <v>68</v>
      </c>
      <c r="L21" s="73" t="s">
        <v>24</v>
      </c>
      <c r="M21" s="44">
        <v>0.3</v>
      </c>
      <c r="N21" s="332"/>
      <c r="O21" s="314"/>
      <c r="P21" s="315"/>
      <c r="Q21" s="314"/>
      <c r="R21" s="342"/>
      <c r="S21" s="342"/>
      <c r="T21" s="317"/>
      <c r="U21" s="317"/>
      <c r="V21" s="338"/>
      <c r="W21" s="317"/>
      <c r="X21" s="317"/>
      <c r="Y21" s="338"/>
      <c r="Z21" s="340"/>
      <c r="AA21" s="334"/>
      <c r="AB21" s="11"/>
      <c r="AC21" s="11"/>
      <c r="AD21" s="12"/>
      <c r="AE21" s="1"/>
    </row>
    <row r="22" spans="3:33" ht="86.25" customHeight="1" thickBot="1" x14ac:dyDescent="0.3">
      <c r="C22" s="299"/>
      <c r="D22" s="302"/>
      <c r="E22" s="326"/>
      <c r="F22" s="328"/>
      <c r="G22" s="330"/>
      <c r="H22" s="278"/>
      <c r="I22" s="313"/>
      <c r="J22" s="18" t="s">
        <v>67</v>
      </c>
      <c r="K22" s="48" t="s">
        <v>69</v>
      </c>
      <c r="L22" s="75" t="s">
        <v>24</v>
      </c>
      <c r="M22" s="45">
        <v>0.3</v>
      </c>
      <c r="N22" s="333"/>
      <c r="O22" s="309"/>
      <c r="P22" s="289"/>
      <c r="Q22" s="309"/>
      <c r="R22" s="297"/>
      <c r="S22" s="297"/>
      <c r="T22" s="318"/>
      <c r="U22" s="318"/>
      <c r="V22" s="293"/>
      <c r="W22" s="318"/>
      <c r="X22" s="318"/>
      <c r="Y22" s="293"/>
      <c r="Z22" s="341"/>
      <c r="AA22" s="335"/>
      <c r="AB22" s="11"/>
      <c r="AC22" s="11"/>
      <c r="AD22" s="11"/>
      <c r="AE22" s="1"/>
    </row>
    <row r="23" spans="3:33" ht="178.5" customHeight="1" thickBot="1" x14ac:dyDescent="0.3">
      <c r="C23" s="299"/>
      <c r="D23" s="302"/>
      <c r="E23" s="310">
        <v>3</v>
      </c>
      <c r="F23" s="311" t="s">
        <v>70</v>
      </c>
      <c r="G23" s="144">
        <v>301</v>
      </c>
      <c r="H23" s="146" t="s">
        <v>71</v>
      </c>
      <c r="I23" s="157">
        <v>0.1</v>
      </c>
      <c r="J23" s="19" t="s">
        <v>72</v>
      </c>
      <c r="K23" s="147" t="s">
        <v>286</v>
      </c>
      <c r="L23" s="73" t="s">
        <v>24</v>
      </c>
      <c r="M23" s="44">
        <v>1</v>
      </c>
      <c r="N23" s="45" t="s">
        <v>73</v>
      </c>
      <c r="O23" s="33" t="s">
        <v>74</v>
      </c>
      <c r="P23" s="44" t="s">
        <v>75</v>
      </c>
      <c r="Q23" s="33" t="s">
        <v>349</v>
      </c>
      <c r="R23" s="34" t="s">
        <v>76</v>
      </c>
      <c r="S23" s="34" t="s">
        <v>229</v>
      </c>
      <c r="T23" s="34">
        <v>0</v>
      </c>
      <c r="U23" s="34">
        <v>0</v>
      </c>
      <c r="V23" s="50" t="e">
        <f t="shared" si="0"/>
        <v>#DIV/0!</v>
      </c>
      <c r="W23" s="88">
        <v>0.3</v>
      </c>
      <c r="X23" s="88">
        <v>0.3</v>
      </c>
      <c r="Y23" s="50">
        <f t="shared" si="1"/>
        <v>1</v>
      </c>
      <c r="Z23" s="126" t="s">
        <v>380</v>
      </c>
      <c r="AA23" s="127" t="s">
        <v>379</v>
      </c>
      <c r="AB23" s="11"/>
      <c r="AC23" s="11"/>
      <c r="AD23" s="12"/>
      <c r="AE23" s="76"/>
    </row>
    <row r="24" spans="3:33" ht="409.5" customHeight="1" thickBot="1" x14ac:dyDescent="0.3">
      <c r="C24" s="299"/>
      <c r="D24" s="302"/>
      <c r="E24" s="310"/>
      <c r="F24" s="311"/>
      <c r="G24" s="273">
        <v>302</v>
      </c>
      <c r="H24" s="276" t="s">
        <v>78</v>
      </c>
      <c r="I24" s="312">
        <v>0.1</v>
      </c>
      <c r="J24" s="282" t="s">
        <v>79</v>
      </c>
      <c r="K24" s="343" t="s">
        <v>80</v>
      </c>
      <c r="L24" s="345" t="s">
        <v>81</v>
      </c>
      <c r="M24" s="331">
        <v>0.5</v>
      </c>
      <c r="N24" s="45" t="s">
        <v>82</v>
      </c>
      <c r="O24" s="38" t="s">
        <v>83</v>
      </c>
      <c r="P24" s="45" t="s">
        <v>84</v>
      </c>
      <c r="Q24" s="38" t="s">
        <v>85</v>
      </c>
      <c r="R24" s="35" t="s">
        <v>350</v>
      </c>
      <c r="S24" s="35" t="s">
        <v>77</v>
      </c>
      <c r="T24" s="78">
        <v>7.0000000000000007E-2</v>
      </c>
      <c r="U24" s="78">
        <v>0.09</v>
      </c>
      <c r="V24" s="50">
        <f t="shared" si="0"/>
        <v>1.2857142857142856</v>
      </c>
      <c r="W24" s="87">
        <f>63%+T24</f>
        <v>0.7</v>
      </c>
      <c r="X24" s="87">
        <f>60%+U24</f>
        <v>0.69</v>
      </c>
      <c r="Y24" s="50">
        <f t="shared" si="1"/>
        <v>0.98571428571428565</v>
      </c>
      <c r="Z24" s="117" t="s">
        <v>405</v>
      </c>
      <c r="AA24" s="118" t="s">
        <v>393</v>
      </c>
      <c r="AB24" s="11"/>
      <c r="AC24" s="11"/>
      <c r="AD24" s="11"/>
      <c r="AE24" s="1"/>
    </row>
    <row r="25" spans="3:33" ht="180.75" customHeight="1" thickBot="1" x14ac:dyDescent="0.3">
      <c r="C25" s="299"/>
      <c r="D25" s="302"/>
      <c r="E25" s="310"/>
      <c r="F25" s="311"/>
      <c r="G25" s="275"/>
      <c r="H25" s="278"/>
      <c r="I25" s="313"/>
      <c r="J25" s="283"/>
      <c r="K25" s="344"/>
      <c r="L25" s="346"/>
      <c r="M25" s="333"/>
      <c r="N25" s="45" t="s">
        <v>87</v>
      </c>
      <c r="O25" s="38" t="s">
        <v>88</v>
      </c>
      <c r="P25" s="45" t="s">
        <v>89</v>
      </c>
      <c r="Q25" s="38" t="s">
        <v>351</v>
      </c>
      <c r="R25" s="35" t="s">
        <v>86</v>
      </c>
      <c r="S25" s="35" t="s">
        <v>77</v>
      </c>
      <c r="T25" s="78">
        <v>0.27</v>
      </c>
      <c r="U25" s="35">
        <v>0</v>
      </c>
      <c r="V25" s="50">
        <f t="shared" si="0"/>
        <v>0</v>
      </c>
      <c r="W25" s="35">
        <f>13.2%+T25</f>
        <v>0.40200000000000002</v>
      </c>
      <c r="X25" s="35">
        <f>+U25</f>
        <v>0</v>
      </c>
      <c r="Y25" s="50">
        <f t="shared" si="1"/>
        <v>0</v>
      </c>
      <c r="Z25" s="117" t="s">
        <v>382</v>
      </c>
      <c r="AA25" s="115" t="s">
        <v>381</v>
      </c>
      <c r="AB25" s="11"/>
      <c r="AC25" s="11"/>
      <c r="AD25" s="11"/>
      <c r="AE25" s="1"/>
    </row>
    <row r="26" spans="3:33" ht="152.25" customHeight="1" thickBot="1" x14ac:dyDescent="0.3">
      <c r="C26" s="299"/>
      <c r="D26" s="302"/>
      <c r="E26" s="310"/>
      <c r="F26" s="311"/>
      <c r="G26" s="273">
        <v>303</v>
      </c>
      <c r="H26" s="276" t="s">
        <v>90</v>
      </c>
      <c r="I26" s="312">
        <v>0.3</v>
      </c>
      <c r="J26" s="282" t="s">
        <v>91</v>
      </c>
      <c r="K26" s="276" t="s">
        <v>287</v>
      </c>
      <c r="L26" s="286" t="s">
        <v>81</v>
      </c>
      <c r="M26" s="288">
        <v>1</v>
      </c>
      <c r="N26" s="331" t="s">
        <v>92</v>
      </c>
      <c r="O26" s="308" t="s">
        <v>93</v>
      </c>
      <c r="P26" s="44" t="s">
        <v>94</v>
      </c>
      <c r="Q26" s="33" t="s">
        <v>355</v>
      </c>
      <c r="R26" s="34" t="s">
        <v>95</v>
      </c>
      <c r="S26" s="34" t="s">
        <v>96</v>
      </c>
      <c r="T26" s="34">
        <v>0.7</v>
      </c>
      <c r="U26" s="79">
        <v>0.48530000000000001</v>
      </c>
      <c r="V26" s="50">
        <f t="shared" si="0"/>
        <v>0.69328571428571439</v>
      </c>
      <c r="W26" s="34">
        <v>0.7</v>
      </c>
      <c r="X26" s="79">
        <v>0.51139999999999997</v>
      </c>
      <c r="Y26" s="50">
        <f t="shared" si="1"/>
        <v>0.73057142857142854</v>
      </c>
      <c r="Z26" s="114" t="s">
        <v>406</v>
      </c>
      <c r="AA26" s="115" t="s">
        <v>392</v>
      </c>
      <c r="AB26" s="11"/>
      <c r="AC26" s="11"/>
      <c r="AD26" s="80" t="s">
        <v>295</v>
      </c>
      <c r="AE26" s="1"/>
    </row>
    <row r="27" spans="3:33" ht="156.75" customHeight="1" thickBot="1" x14ac:dyDescent="0.3">
      <c r="C27" s="299"/>
      <c r="D27" s="302"/>
      <c r="E27" s="310"/>
      <c r="F27" s="311"/>
      <c r="G27" s="274"/>
      <c r="H27" s="277"/>
      <c r="I27" s="337"/>
      <c r="J27" s="347"/>
      <c r="K27" s="277"/>
      <c r="L27" s="348"/>
      <c r="M27" s="315"/>
      <c r="N27" s="333"/>
      <c r="O27" s="309"/>
      <c r="P27" s="44" t="s">
        <v>97</v>
      </c>
      <c r="Q27" s="33" t="s">
        <v>344</v>
      </c>
      <c r="R27" s="34" t="s">
        <v>95</v>
      </c>
      <c r="S27" s="34" t="s">
        <v>96</v>
      </c>
      <c r="T27" s="34">
        <v>1</v>
      </c>
      <c r="U27" s="79">
        <v>0.62939999999999996</v>
      </c>
      <c r="V27" s="106">
        <f t="shared" si="0"/>
        <v>0.62939999999999996</v>
      </c>
      <c r="W27" s="34">
        <v>1</v>
      </c>
      <c r="X27" s="79">
        <v>0.75600000000000001</v>
      </c>
      <c r="Y27" s="50">
        <f t="shared" si="1"/>
        <v>0.75600000000000001</v>
      </c>
      <c r="Z27" s="114" t="s">
        <v>394</v>
      </c>
      <c r="AA27" s="115" t="s">
        <v>407</v>
      </c>
      <c r="AB27" s="11"/>
      <c r="AC27" s="11"/>
      <c r="AD27" s="12"/>
      <c r="AE27" s="134">
        <v>36767</v>
      </c>
      <c r="AF27" s="6">
        <v>23141</v>
      </c>
      <c r="AG27" s="135">
        <f>+AF27/AE27</f>
        <v>0.62939592569423664</v>
      </c>
    </row>
    <row r="28" spans="3:33" ht="143.25" customHeight="1" thickBot="1" x14ac:dyDescent="0.3">
      <c r="C28" s="299"/>
      <c r="D28" s="302"/>
      <c r="E28" s="310"/>
      <c r="F28" s="311"/>
      <c r="G28" s="274"/>
      <c r="H28" s="277"/>
      <c r="I28" s="337"/>
      <c r="J28" s="347"/>
      <c r="K28" s="277"/>
      <c r="L28" s="348"/>
      <c r="M28" s="315"/>
      <c r="N28" s="64" t="s">
        <v>98</v>
      </c>
      <c r="O28" s="33" t="s">
        <v>345</v>
      </c>
      <c r="P28" s="44" t="s">
        <v>99</v>
      </c>
      <c r="Q28" s="33" t="s">
        <v>100</v>
      </c>
      <c r="R28" s="34" t="s">
        <v>101</v>
      </c>
      <c r="S28" s="34" t="s">
        <v>42</v>
      </c>
      <c r="T28" s="36">
        <v>1</v>
      </c>
      <c r="U28" s="36">
        <v>0</v>
      </c>
      <c r="V28" s="50">
        <f t="shared" si="0"/>
        <v>0</v>
      </c>
      <c r="W28" s="36">
        <f>2+T28</f>
        <v>3</v>
      </c>
      <c r="X28" s="36">
        <f>1+U28</f>
        <v>1</v>
      </c>
      <c r="Y28" s="50">
        <f t="shared" si="1"/>
        <v>0.33333333333333331</v>
      </c>
      <c r="Z28" s="110" t="s">
        <v>408</v>
      </c>
      <c r="AA28" s="115" t="s">
        <v>395</v>
      </c>
      <c r="AB28" s="11"/>
      <c r="AC28" s="11"/>
      <c r="AD28" s="12"/>
      <c r="AE28" s="1"/>
    </row>
    <row r="29" spans="3:33" ht="349.5" customHeight="1" thickBot="1" x14ac:dyDescent="0.3">
      <c r="C29" s="299"/>
      <c r="D29" s="302"/>
      <c r="E29" s="310"/>
      <c r="F29" s="311"/>
      <c r="G29" s="274"/>
      <c r="H29" s="277"/>
      <c r="I29" s="337"/>
      <c r="J29" s="347"/>
      <c r="K29" s="277"/>
      <c r="L29" s="348"/>
      <c r="M29" s="315"/>
      <c r="N29" s="158" t="s">
        <v>102</v>
      </c>
      <c r="O29" s="155" t="s">
        <v>346</v>
      </c>
      <c r="P29" s="44" t="s">
        <v>103</v>
      </c>
      <c r="Q29" s="33" t="s">
        <v>104</v>
      </c>
      <c r="R29" s="34" t="s">
        <v>105</v>
      </c>
      <c r="S29" s="34" t="s">
        <v>42</v>
      </c>
      <c r="T29" s="36">
        <v>8</v>
      </c>
      <c r="U29" s="36">
        <v>18</v>
      </c>
      <c r="V29" s="50">
        <f t="shared" si="0"/>
        <v>2.25</v>
      </c>
      <c r="W29" s="36">
        <f>24+T29</f>
        <v>32</v>
      </c>
      <c r="X29" s="36">
        <f>10+U29</f>
        <v>28</v>
      </c>
      <c r="Y29" s="50">
        <f t="shared" si="1"/>
        <v>0.875</v>
      </c>
      <c r="Z29" s="110" t="s">
        <v>409</v>
      </c>
      <c r="AA29" s="131" t="s">
        <v>396</v>
      </c>
      <c r="AB29" s="11"/>
      <c r="AC29" s="11"/>
      <c r="AD29" s="12"/>
      <c r="AE29" s="1"/>
    </row>
    <row r="30" spans="3:33" ht="179.25" customHeight="1" thickBot="1" x14ac:dyDescent="0.3">
      <c r="C30" s="299"/>
      <c r="D30" s="302"/>
      <c r="E30" s="310"/>
      <c r="F30" s="311"/>
      <c r="G30" s="275"/>
      <c r="H30" s="278"/>
      <c r="I30" s="313"/>
      <c r="J30" s="283"/>
      <c r="K30" s="278"/>
      <c r="L30" s="287"/>
      <c r="M30" s="289"/>
      <c r="N30" s="45" t="s">
        <v>318</v>
      </c>
      <c r="O30" s="33" t="s">
        <v>107</v>
      </c>
      <c r="P30" s="44" t="s">
        <v>319</v>
      </c>
      <c r="Q30" s="33" t="s">
        <v>109</v>
      </c>
      <c r="R30" s="34" t="s">
        <v>320</v>
      </c>
      <c r="S30" s="34" t="s">
        <v>42</v>
      </c>
      <c r="T30" s="36">
        <v>0</v>
      </c>
      <c r="U30" s="36">
        <v>0</v>
      </c>
      <c r="V30" s="50" t="e">
        <f>+U30/T30</f>
        <v>#DIV/0!</v>
      </c>
      <c r="W30" s="36">
        <v>5</v>
      </c>
      <c r="X30" s="36">
        <f>+U30</f>
        <v>0</v>
      </c>
      <c r="Y30" s="50">
        <f t="shared" si="1"/>
        <v>0</v>
      </c>
      <c r="Z30" s="124" t="s">
        <v>370</v>
      </c>
      <c r="AA30" s="125" t="s">
        <v>292</v>
      </c>
      <c r="AB30" s="11"/>
      <c r="AC30" s="11"/>
      <c r="AD30" s="12"/>
      <c r="AE30" s="1"/>
    </row>
    <row r="31" spans="3:33" ht="203.25" customHeight="1" thickBot="1" x14ac:dyDescent="0.3">
      <c r="C31" s="299"/>
      <c r="D31" s="302"/>
      <c r="E31" s="310"/>
      <c r="F31" s="311"/>
      <c r="G31" s="273">
        <v>304</v>
      </c>
      <c r="H31" s="276" t="s">
        <v>110</v>
      </c>
      <c r="I31" s="349">
        <v>0.1</v>
      </c>
      <c r="J31" s="282" t="s">
        <v>111</v>
      </c>
      <c r="K31" s="276" t="s">
        <v>288</v>
      </c>
      <c r="L31" s="286" t="s">
        <v>81</v>
      </c>
      <c r="M31" s="288">
        <v>1</v>
      </c>
      <c r="N31" s="45" t="s">
        <v>112</v>
      </c>
      <c r="O31" s="33" t="s">
        <v>113</v>
      </c>
      <c r="P31" s="44" t="s">
        <v>114</v>
      </c>
      <c r="Q31" s="33" t="s">
        <v>115</v>
      </c>
      <c r="R31" s="34" t="s">
        <v>116</v>
      </c>
      <c r="S31" s="34" t="s">
        <v>42</v>
      </c>
      <c r="T31" s="36">
        <v>0</v>
      </c>
      <c r="U31" s="36">
        <v>0</v>
      </c>
      <c r="V31" s="50" t="e">
        <f t="shared" si="0"/>
        <v>#DIV/0!</v>
      </c>
      <c r="W31" s="36">
        <v>0</v>
      </c>
      <c r="X31" s="36">
        <v>0</v>
      </c>
      <c r="Y31" s="50" t="e">
        <f t="shared" si="1"/>
        <v>#DIV/0!</v>
      </c>
      <c r="Z31" s="110" t="s">
        <v>410</v>
      </c>
      <c r="AA31" s="115" t="s">
        <v>411</v>
      </c>
      <c r="AB31" s="11"/>
      <c r="AC31" s="11"/>
      <c r="AD31" s="12"/>
      <c r="AE31" s="1"/>
    </row>
    <row r="32" spans="3:33" ht="155.25" customHeight="1" thickBot="1" x14ac:dyDescent="0.3">
      <c r="C32" s="299"/>
      <c r="D32" s="302"/>
      <c r="E32" s="310"/>
      <c r="F32" s="311"/>
      <c r="G32" s="274"/>
      <c r="H32" s="277"/>
      <c r="I32" s="350"/>
      <c r="J32" s="347"/>
      <c r="K32" s="277"/>
      <c r="L32" s="348"/>
      <c r="M32" s="315"/>
      <c r="N32" s="331" t="s">
        <v>117</v>
      </c>
      <c r="O32" s="308" t="s">
        <v>118</v>
      </c>
      <c r="P32" s="44" t="s">
        <v>119</v>
      </c>
      <c r="Q32" s="33" t="s">
        <v>339</v>
      </c>
      <c r="R32" s="34" t="s">
        <v>340</v>
      </c>
      <c r="S32" s="34" t="s">
        <v>42</v>
      </c>
      <c r="T32" s="36">
        <v>0</v>
      </c>
      <c r="U32" s="36">
        <v>0</v>
      </c>
      <c r="V32" s="50" t="e">
        <f t="shared" si="0"/>
        <v>#DIV/0!</v>
      </c>
      <c r="W32" s="36">
        <v>1</v>
      </c>
      <c r="X32" s="36">
        <f>+U32</f>
        <v>0</v>
      </c>
      <c r="Y32" s="50">
        <f t="shared" si="1"/>
        <v>0</v>
      </c>
      <c r="Z32" s="110" t="s">
        <v>364</v>
      </c>
      <c r="AA32" s="115" t="s">
        <v>412</v>
      </c>
      <c r="AB32" s="11"/>
      <c r="AC32" s="11"/>
      <c r="AD32" s="12"/>
      <c r="AE32" s="1"/>
    </row>
    <row r="33" spans="3:33" ht="153" customHeight="1" thickBot="1" x14ac:dyDescent="0.3">
      <c r="C33" s="299"/>
      <c r="D33" s="302"/>
      <c r="E33" s="310"/>
      <c r="F33" s="311"/>
      <c r="G33" s="275"/>
      <c r="H33" s="278"/>
      <c r="I33" s="351"/>
      <c r="J33" s="283"/>
      <c r="K33" s="278"/>
      <c r="L33" s="287"/>
      <c r="M33" s="289"/>
      <c r="N33" s="333"/>
      <c r="O33" s="309"/>
      <c r="P33" s="44" t="s">
        <v>120</v>
      </c>
      <c r="Q33" s="33" t="s">
        <v>121</v>
      </c>
      <c r="R33" s="34" t="s">
        <v>341</v>
      </c>
      <c r="S33" s="34" t="s">
        <v>42</v>
      </c>
      <c r="T33" s="36">
        <v>0</v>
      </c>
      <c r="U33" s="36">
        <v>5</v>
      </c>
      <c r="V33" s="50">
        <v>1</v>
      </c>
      <c r="W33" s="36">
        <v>2</v>
      </c>
      <c r="X33" s="36">
        <f>+U33</f>
        <v>5</v>
      </c>
      <c r="Y33" s="50">
        <f t="shared" si="1"/>
        <v>2.5</v>
      </c>
      <c r="Z33" s="110" t="s">
        <v>385</v>
      </c>
      <c r="AA33" s="130" t="s">
        <v>413</v>
      </c>
      <c r="AB33" s="11"/>
      <c r="AC33" s="11"/>
      <c r="AD33" s="12"/>
      <c r="AE33" s="1"/>
    </row>
    <row r="34" spans="3:33" ht="121.5" customHeight="1" thickBot="1" x14ac:dyDescent="0.3">
      <c r="C34" s="299"/>
      <c r="D34" s="302"/>
      <c r="E34" s="310"/>
      <c r="F34" s="311"/>
      <c r="G34" s="273">
        <v>305</v>
      </c>
      <c r="H34" s="276" t="s">
        <v>122</v>
      </c>
      <c r="I34" s="350">
        <v>0.1</v>
      </c>
      <c r="J34" s="141" t="s">
        <v>123</v>
      </c>
      <c r="K34" s="146" t="s">
        <v>124</v>
      </c>
      <c r="L34" s="151" t="s">
        <v>81</v>
      </c>
      <c r="M34" s="154">
        <v>0.3</v>
      </c>
      <c r="N34" s="331" t="s">
        <v>125</v>
      </c>
      <c r="O34" s="296" t="s">
        <v>126</v>
      </c>
      <c r="P34" s="152" t="s">
        <v>127</v>
      </c>
      <c r="Q34" s="33" t="s">
        <v>347</v>
      </c>
      <c r="R34" s="34" t="s">
        <v>128</v>
      </c>
      <c r="S34" s="34" t="s">
        <v>42</v>
      </c>
      <c r="T34" s="36">
        <v>0</v>
      </c>
      <c r="U34" s="36">
        <v>1</v>
      </c>
      <c r="V34" s="50">
        <v>1</v>
      </c>
      <c r="W34" s="36">
        <v>4</v>
      </c>
      <c r="X34" s="36">
        <f>2+U34</f>
        <v>3</v>
      </c>
      <c r="Y34" s="50">
        <f t="shared" si="1"/>
        <v>0.75</v>
      </c>
      <c r="Z34" s="161" t="s">
        <v>398</v>
      </c>
      <c r="AA34" s="132" t="s">
        <v>291</v>
      </c>
      <c r="AB34" s="11"/>
      <c r="AC34" s="11"/>
      <c r="AD34" s="12"/>
      <c r="AE34" s="1"/>
    </row>
    <row r="35" spans="3:33" ht="291" customHeight="1" thickBot="1" x14ac:dyDescent="0.3">
      <c r="C35" s="299"/>
      <c r="D35" s="302"/>
      <c r="E35" s="310"/>
      <c r="F35" s="311"/>
      <c r="G35" s="274"/>
      <c r="H35" s="277"/>
      <c r="I35" s="350"/>
      <c r="J35" s="140" t="s">
        <v>129</v>
      </c>
      <c r="K35" s="145" t="s">
        <v>130</v>
      </c>
      <c r="L35" s="150" t="s">
        <v>81</v>
      </c>
      <c r="M35" s="152">
        <v>0.2</v>
      </c>
      <c r="N35" s="332"/>
      <c r="O35" s="342"/>
      <c r="P35" s="44" t="s">
        <v>131</v>
      </c>
      <c r="Q35" s="33" t="s">
        <v>132</v>
      </c>
      <c r="R35" s="34" t="s">
        <v>133</v>
      </c>
      <c r="S35" s="34" t="s">
        <v>42</v>
      </c>
      <c r="T35" s="36">
        <v>6</v>
      </c>
      <c r="U35" s="36">
        <v>6</v>
      </c>
      <c r="V35" s="50">
        <f t="shared" si="0"/>
        <v>1</v>
      </c>
      <c r="W35" s="36">
        <f>15+T35</f>
        <v>21</v>
      </c>
      <c r="X35" s="36">
        <f>3+U35</f>
        <v>9</v>
      </c>
      <c r="Y35" s="50">
        <f t="shared" si="1"/>
        <v>0.42857142857142855</v>
      </c>
      <c r="Z35" s="110" t="s">
        <v>414</v>
      </c>
      <c r="AA35" s="111" t="s">
        <v>291</v>
      </c>
      <c r="AB35" s="11"/>
      <c r="AC35" s="11"/>
      <c r="AD35" s="12"/>
      <c r="AE35" s="1"/>
    </row>
    <row r="36" spans="3:33" ht="409.5" customHeight="1" x14ac:dyDescent="0.25">
      <c r="C36" s="299"/>
      <c r="D36" s="302"/>
      <c r="E36" s="310"/>
      <c r="F36" s="311"/>
      <c r="G36" s="274"/>
      <c r="H36" s="277"/>
      <c r="I36" s="350"/>
      <c r="J36" s="282" t="s">
        <v>134</v>
      </c>
      <c r="K36" s="352" t="s">
        <v>135</v>
      </c>
      <c r="L36" s="286" t="s">
        <v>81</v>
      </c>
      <c r="M36" s="288">
        <v>0.2</v>
      </c>
      <c r="N36" s="332"/>
      <c r="O36" s="342"/>
      <c r="P36" s="288" t="s">
        <v>136</v>
      </c>
      <c r="Q36" s="296" t="s">
        <v>137</v>
      </c>
      <c r="R36" s="296" t="s">
        <v>137</v>
      </c>
      <c r="S36" s="296" t="s">
        <v>42</v>
      </c>
      <c r="T36" s="316">
        <v>50</v>
      </c>
      <c r="U36" s="316">
        <v>25</v>
      </c>
      <c r="V36" s="292">
        <f t="shared" si="0"/>
        <v>0.5</v>
      </c>
      <c r="W36" s="316">
        <f>132+T36</f>
        <v>182</v>
      </c>
      <c r="X36" s="316">
        <f>23+U36</f>
        <v>48</v>
      </c>
      <c r="Y36" s="292">
        <f t="shared" si="1"/>
        <v>0.26373626373626374</v>
      </c>
      <c r="Z36" s="161" t="s">
        <v>415</v>
      </c>
      <c r="AA36" s="129" t="s">
        <v>416</v>
      </c>
      <c r="AB36" s="11"/>
      <c r="AC36" s="11"/>
      <c r="AD36" s="12"/>
      <c r="AE36" s="1"/>
    </row>
    <row r="37" spans="3:33" ht="227.25" customHeight="1" thickBot="1" x14ac:dyDescent="0.3">
      <c r="C37" s="299"/>
      <c r="D37" s="302"/>
      <c r="E37" s="310"/>
      <c r="F37" s="311"/>
      <c r="G37" s="274"/>
      <c r="H37" s="277"/>
      <c r="I37" s="350"/>
      <c r="J37" s="283"/>
      <c r="K37" s="353"/>
      <c r="L37" s="287"/>
      <c r="M37" s="289"/>
      <c r="N37" s="333"/>
      <c r="O37" s="297"/>
      <c r="P37" s="289"/>
      <c r="Q37" s="297"/>
      <c r="R37" s="297"/>
      <c r="S37" s="297"/>
      <c r="T37" s="318"/>
      <c r="U37" s="318"/>
      <c r="V37" s="293"/>
      <c r="W37" s="318"/>
      <c r="X37" s="318"/>
      <c r="Y37" s="293"/>
      <c r="Z37" s="162" t="s">
        <v>397</v>
      </c>
      <c r="AA37" s="136" t="s">
        <v>417</v>
      </c>
      <c r="AB37" s="11"/>
      <c r="AC37" s="11"/>
      <c r="AD37" s="12"/>
      <c r="AE37" s="1"/>
    </row>
    <row r="38" spans="3:33" ht="255.75" customHeight="1" thickBot="1" x14ac:dyDescent="0.3">
      <c r="C38" s="299"/>
      <c r="D38" s="302"/>
      <c r="E38" s="310"/>
      <c r="F38" s="311"/>
      <c r="G38" s="275"/>
      <c r="H38" s="278"/>
      <c r="I38" s="351"/>
      <c r="J38" s="14" t="s">
        <v>138</v>
      </c>
      <c r="K38" s="145" t="s">
        <v>139</v>
      </c>
      <c r="L38" s="72" t="s">
        <v>81</v>
      </c>
      <c r="M38" s="152">
        <v>0.3</v>
      </c>
      <c r="N38" s="158" t="s">
        <v>140</v>
      </c>
      <c r="O38" s="155" t="s">
        <v>141</v>
      </c>
      <c r="P38" s="153" t="s">
        <v>142</v>
      </c>
      <c r="Q38" s="33" t="s">
        <v>348</v>
      </c>
      <c r="R38" s="34" t="s">
        <v>143</v>
      </c>
      <c r="S38" s="34" t="s">
        <v>42</v>
      </c>
      <c r="T38" s="36">
        <v>0</v>
      </c>
      <c r="U38" s="36">
        <v>0</v>
      </c>
      <c r="V38" s="50" t="e">
        <f t="shared" si="0"/>
        <v>#DIV/0!</v>
      </c>
      <c r="W38" s="36">
        <v>1</v>
      </c>
      <c r="X38" s="36">
        <f>+U38</f>
        <v>0</v>
      </c>
      <c r="Y38" s="50">
        <f t="shared" si="1"/>
        <v>0</v>
      </c>
      <c r="Z38" s="110" t="s">
        <v>418</v>
      </c>
      <c r="AA38" s="115" t="s">
        <v>419</v>
      </c>
      <c r="AB38" s="11"/>
      <c r="AC38" s="11"/>
      <c r="AD38" s="12"/>
      <c r="AE38" s="1"/>
    </row>
    <row r="39" spans="3:33" ht="62.25" customHeight="1" thickBot="1" x14ac:dyDescent="0.3">
      <c r="C39" s="299"/>
      <c r="D39" s="302"/>
      <c r="E39" s="310"/>
      <c r="F39" s="311"/>
      <c r="G39" s="273">
        <v>306</v>
      </c>
      <c r="H39" s="276" t="s">
        <v>282</v>
      </c>
      <c r="I39" s="349">
        <v>0.05</v>
      </c>
      <c r="J39" s="140" t="s">
        <v>144</v>
      </c>
      <c r="K39" s="145" t="s">
        <v>145</v>
      </c>
      <c r="L39" s="72" t="s">
        <v>81</v>
      </c>
      <c r="M39" s="152">
        <v>0.35</v>
      </c>
      <c r="N39" s="331" t="s">
        <v>146</v>
      </c>
      <c r="O39" s="308" t="s">
        <v>147</v>
      </c>
      <c r="P39" s="288" t="s">
        <v>148</v>
      </c>
      <c r="Q39" s="308" t="s">
        <v>149</v>
      </c>
      <c r="R39" s="296" t="s">
        <v>150</v>
      </c>
      <c r="S39" s="296" t="s">
        <v>42</v>
      </c>
      <c r="T39" s="316">
        <v>1</v>
      </c>
      <c r="U39" s="316">
        <v>0</v>
      </c>
      <c r="V39" s="292">
        <f t="shared" si="0"/>
        <v>0</v>
      </c>
      <c r="W39" s="316">
        <f>1+T39</f>
        <v>2</v>
      </c>
      <c r="X39" s="316">
        <f>+U39</f>
        <v>0</v>
      </c>
      <c r="Y39" s="292">
        <f t="shared" si="1"/>
        <v>0</v>
      </c>
      <c r="Z39" s="339" t="s">
        <v>420</v>
      </c>
      <c r="AA39" s="320" t="s">
        <v>421</v>
      </c>
      <c r="AB39" s="11"/>
      <c r="AC39" s="11"/>
      <c r="AD39" s="12"/>
      <c r="AE39" s="1"/>
    </row>
    <row r="40" spans="3:33" ht="64.5" customHeight="1" thickBot="1" x14ac:dyDescent="0.3">
      <c r="C40" s="299"/>
      <c r="D40" s="302"/>
      <c r="E40" s="310"/>
      <c r="F40" s="311"/>
      <c r="G40" s="274"/>
      <c r="H40" s="277"/>
      <c r="I40" s="350"/>
      <c r="J40" s="14" t="s">
        <v>151</v>
      </c>
      <c r="K40" s="47" t="s">
        <v>152</v>
      </c>
      <c r="L40" s="72" t="s">
        <v>81</v>
      </c>
      <c r="M40" s="44">
        <v>0.35</v>
      </c>
      <c r="N40" s="332"/>
      <c r="O40" s="314"/>
      <c r="P40" s="315"/>
      <c r="Q40" s="314"/>
      <c r="R40" s="342"/>
      <c r="S40" s="342"/>
      <c r="T40" s="317"/>
      <c r="U40" s="317"/>
      <c r="V40" s="338"/>
      <c r="W40" s="317"/>
      <c r="X40" s="317"/>
      <c r="Y40" s="338"/>
      <c r="Z40" s="340"/>
      <c r="AA40" s="320"/>
      <c r="AB40" s="11"/>
      <c r="AC40" s="11"/>
      <c r="AD40" s="12"/>
      <c r="AE40" s="1"/>
    </row>
    <row r="41" spans="3:33" ht="98.25" customHeight="1" thickBot="1" x14ac:dyDescent="0.3">
      <c r="C41" s="299"/>
      <c r="D41" s="302"/>
      <c r="E41" s="310"/>
      <c r="F41" s="311"/>
      <c r="G41" s="275"/>
      <c r="H41" s="278"/>
      <c r="I41" s="351"/>
      <c r="J41" s="142" t="s">
        <v>153</v>
      </c>
      <c r="K41" s="147" t="s">
        <v>154</v>
      </c>
      <c r="L41" s="151" t="s">
        <v>81</v>
      </c>
      <c r="M41" s="153">
        <v>0.3</v>
      </c>
      <c r="N41" s="333"/>
      <c r="O41" s="309"/>
      <c r="P41" s="289"/>
      <c r="Q41" s="309"/>
      <c r="R41" s="297"/>
      <c r="S41" s="297"/>
      <c r="T41" s="318"/>
      <c r="U41" s="318"/>
      <c r="V41" s="293"/>
      <c r="W41" s="318"/>
      <c r="X41" s="318"/>
      <c r="Y41" s="293"/>
      <c r="Z41" s="341"/>
      <c r="AA41" s="321"/>
      <c r="AB41" s="11"/>
      <c r="AC41" s="11"/>
      <c r="AD41" s="12"/>
      <c r="AE41" s="1"/>
    </row>
    <row r="42" spans="3:33" ht="390" customHeight="1" thickBot="1" x14ac:dyDescent="0.3">
      <c r="C42" s="299"/>
      <c r="D42" s="302"/>
      <c r="E42" s="310"/>
      <c r="F42" s="311"/>
      <c r="G42" s="273">
        <v>307</v>
      </c>
      <c r="H42" s="276" t="s">
        <v>283</v>
      </c>
      <c r="I42" s="349">
        <v>0.1</v>
      </c>
      <c r="J42" s="103" t="s">
        <v>155</v>
      </c>
      <c r="K42" s="104" t="s">
        <v>156</v>
      </c>
      <c r="L42" s="105" t="s">
        <v>81</v>
      </c>
      <c r="M42" s="102">
        <v>0.5</v>
      </c>
      <c r="N42" s="45" t="s">
        <v>160</v>
      </c>
      <c r="O42" s="33" t="s">
        <v>338</v>
      </c>
      <c r="P42" s="45" t="s">
        <v>161</v>
      </c>
      <c r="Q42" s="33" t="s">
        <v>162</v>
      </c>
      <c r="R42" s="34" t="s">
        <v>163</v>
      </c>
      <c r="S42" s="34" t="s">
        <v>164</v>
      </c>
      <c r="T42" s="91">
        <v>0.08</v>
      </c>
      <c r="U42" s="39">
        <f>44%+18.6%+12%</f>
        <v>0.746</v>
      </c>
      <c r="V42" s="106">
        <f t="shared" si="0"/>
        <v>9.3249999999999993</v>
      </c>
      <c r="W42" s="90">
        <f>62.6%+T42</f>
        <v>0.70599999999999996</v>
      </c>
      <c r="X42" s="90">
        <f>+U42</f>
        <v>0.746</v>
      </c>
      <c r="Y42" s="50">
        <f t="shared" si="1"/>
        <v>1.0566572237960341</v>
      </c>
      <c r="Z42" s="110" t="s">
        <v>422</v>
      </c>
      <c r="AA42" s="166" t="s">
        <v>423</v>
      </c>
      <c r="AB42" s="11"/>
      <c r="AC42" s="11"/>
      <c r="AD42" s="12"/>
      <c r="AE42" s="1"/>
    </row>
    <row r="43" spans="3:33" ht="114.75" customHeight="1" thickBot="1" x14ac:dyDescent="0.3">
      <c r="C43" s="299"/>
      <c r="D43" s="302"/>
      <c r="E43" s="310"/>
      <c r="F43" s="311"/>
      <c r="G43" s="274"/>
      <c r="H43" s="277"/>
      <c r="I43" s="350"/>
      <c r="J43" s="282" t="s">
        <v>165</v>
      </c>
      <c r="K43" s="276" t="s">
        <v>289</v>
      </c>
      <c r="L43" s="286" t="s">
        <v>81</v>
      </c>
      <c r="M43" s="288">
        <v>0.5</v>
      </c>
      <c r="N43" s="158" t="s">
        <v>157</v>
      </c>
      <c r="O43" s="155" t="s">
        <v>336</v>
      </c>
      <c r="P43" s="44" t="s">
        <v>158</v>
      </c>
      <c r="Q43" s="33" t="s">
        <v>337</v>
      </c>
      <c r="R43" s="34" t="s">
        <v>159</v>
      </c>
      <c r="S43" s="34" t="s">
        <v>42</v>
      </c>
      <c r="T43" s="36">
        <v>0</v>
      </c>
      <c r="U43" s="36">
        <v>1</v>
      </c>
      <c r="V43" s="50">
        <v>1</v>
      </c>
      <c r="W43" s="40">
        <v>0</v>
      </c>
      <c r="X43" s="40">
        <f>+U43</f>
        <v>1</v>
      </c>
      <c r="Y43" s="50">
        <v>1</v>
      </c>
      <c r="Z43" s="114" t="s">
        <v>424</v>
      </c>
      <c r="AA43" s="111" t="s">
        <v>293</v>
      </c>
      <c r="AB43" s="11"/>
      <c r="AC43" s="11"/>
      <c r="AD43" s="12"/>
      <c r="AE43" s="1"/>
    </row>
    <row r="44" spans="3:33" ht="130.5" customHeight="1" thickBot="1" x14ac:dyDescent="0.3">
      <c r="C44" s="299"/>
      <c r="D44" s="302"/>
      <c r="E44" s="310"/>
      <c r="F44" s="311"/>
      <c r="G44" s="274"/>
      <c r="H44" s="277"/>
      <c r="I44" s="350"/>
      <c r="J44" s="347"/>
      <c r="K44" s="277"/>
      <c r="L44" s="348"/>
      <c r="M44" s="315"/>
      <c r="N44" s="331" t="s">
        <v>166</v>
      </c>
      <c r="O44" s="308" t="s">
        <v>167</v>
      </c>
      <c r="P44" s="44" t="s">
        <v>168</v>
      </c>
      <c r="Q44" s="33" t="s">
        <v>342</v>
      </c>
      <c r="R44" s="34" t="s">
        <v>169</v>
      </c>
      <c r="S44" s="34" t="s">
        <v>42</v>
      </c>
      <c r="T44" s="36">
        <v>0</v>
      </c>
      <c r="U44" s="36">
        <v>0</v>
      </c>
      <c r="V44" s="50" t="e">
        <f t="shared" si="0"/>
        <v>#DIV/0!</v>
      </c>
      <c r="W44" s="36">
        <v>1</v>
      </c>
      <c r="X44" s="36">
        <f>+U44</f>
        <v>0</v>
      </c>
      <c r="Y44" s="50">
        <f t="shared" si="1"/>
        <v>0</v>
      </c>
      <c r="Z44" s="110" t="s">
        <v>364</v>
      </c>
      <c r="AA44" s="167" t="s">
        <v>386</v>
      </c>
      <c r="AB44" s="11"/>
      <c r="AC44" s="11"/>
      <c r="AD44" s="12"/>
      <c r="AE44" s="1"/>
    </row>
    <row r="45" spans="3:33" ht="188.25" customHeight="1" thickBot="1" x14ac:dyDescent="0.3">
      <c r="C45" s="299"/>
      <c r="D45" s="302"/>
      <c r="E45" s="143"/>
      <c r="F45" s="137"/>
      <c r="G45" s="275"/>
      <c r="H45" s="278"/>
      <c r="I45" s="351"/>
      <c r="J45" s="283"/>
      <c r="K45" s="278"/>
      <c r="L45" s="287"/>
      <c r="M45" s="289"/>
      <c r="N45" s="333"/>
      <c r="O45" s="309"/>
      <c r="P45" s="44" t="s">
        <v>170</v>
      </c>
      <c r="Q45" s="33" t="s">
        <v>171</v>
      </c>
      <c r="R45" s="34" t="s">
        <v>169</v>
      </c>
      <c r="S45" s="34" t="s">
        <v>42</v>
      </c>
      <c r="T45" s="36">
        <v>0</v>
      </c>
      <c r="U45" s="36">
        <v>0</v>
      </c>
      <c r="V45" s="50" t="e">
        <f t="shared" si="0"/>
        <v>#DIV/0!</v>
      </c>
      <c r="W45" s="36">
        <v>1</v>
      </c>
      <c r="X45" s="36">
        <v>1</v>
      </c>
      <c r="Y45" s="50">
        <f t="shared" si="1"/>
        <v>1</v>
      </c>
      <c r="Z45" s="162" t="s">
        <v>364</v>
      </c>
      <c r="AA45" s="119" t="s">
        <v>291</v>
      </c>
      <c r="AB45" s="11"/>
      <c r="AC45" s="11"/>
      <c r="AD45" s="12"/>
      <c r="AE45" s="1"/>
    </row>
    <row r="46" spans="3:33" ht="208.5" customHeight="1" thickBot="1" x14ac:dyDescent="0.3">
      <c r="C46" s="299"/>
      <c r="D46" s="302"/>
      <c r="E46" s="143"/>
      <c r="F46" s="137"/>
      <c r="G46" s="273">
        <v>308</v>
      </c>
      <c r="H46" s="276" t="s">
        <v>172</v>
      </c>
      <c r="I46" s="349">
        <v>0.1</v>
      </c>
      <c r="J46" s="140" t="s">
        <v>173</v>
      </c>
      <c r="K46" s="145" t="s">
        <v>174</v>
      </c>
      <c r="L46" s="150" t="s">
        <v>81</v>
      </c>
      <c r="M46" s="152">
        <v>0.5</v>
      </c>
      <c r="N46" s="331" t="s">
        <v>175</v>
      </c>
      <c r="O46" s="308" t="s">
        <v>305</v>
      </c>
      <c r="P46" s="44" t="s">
        <v>180</v>
      </c>
      <c r="Q46" s="33" t="s">
        <v>309</v>
      </c>
      <c r="R46" s="34" t="s">
        <v>307</v>
      </c>
      <c r="S46" s="34" t="s">
        <v>164</v>
      </c>
      <c r="T46" s="88">
        <v>0.45500000000000002</v>
      </c>
      <c r="U46" s="88">
        <v>0</v>
      </c>
      <c r="V46" s="50">
        <f t="shared" si="0"/>
        <v>0</v>
      </c>
      <c r="W46" s="91">
        <f>54.5%+T46</f>
        <v>1</v>
      </c>
      <c r="X46" s="91">
        <f>14%+U46</f>
        <v>0.14000000000000001</v>
      </c>
      <c r="Y46" s="50">
        <f t="shared" si="1"/>
        <v>0.14000000000000001</v>
      </c>
      <c r="Z46" s="114" t="s">
        <v>425</v>
      </c>
      <c r="AA46" s="115" t="s">
        <v>426</v>
      </c>
      <c r="AB46" s="11"/>
      <c r="AC46" s="11"/>
      <c r="AD46" s="13"/>
      <c r="AE46" s="1"/>
      <c r="AF46" s="77"/>
      <c r="AG46" s="77"/>
    </row>
    <row r="47" spans="3:33" ht="138" customHeight="1" thickBot="1" x14ac:dyDescent="0.3">
      <c r="C47" s="299"/>
      <c r="D47" s="302"/>
      <c r="E47" s="143"/>
      <c r="F47" s="137"/>
      <c r="G47" s="274"/>
      <c r="H47" s="277"/>
      <c r="I47" s="350"/>
      <c r="J47" s="282" t="s">
        <v>177</v>
      </c>
      <c r="K47" s="276" t="s">
        <v>178</v>
      </c>
      <c r="L47" s="286" t="s">
        <v>81</v>
      </c>
      <c r="M47" s="288">
        <v>0.5</v>
      </c>
      <c r="N47" s="332"/>
      <c r="O47" s="314"/>
      <c r="P47" s="44" t="s">
        <v>179</v>
      </c>
      <c r="Q47" s="33" t="s">
        <v>306</v>
      </c>
      <c r="R47" s="34" t="s">
        <v>307</v>
      </c>
      <c r="S47" s="34" t="s">
        <v>164</v>
      </c>
      <c r="T47" s="90">
        <v>0</v>
      </c>
      <c r="U47" s="90">
        <v>0</v>
      </c>
      <c r="V47" s="50" t="e">
        <f t="shared" si="0"/>
        <v>#DIV/0!</v>
      </c>
      <c r="W47" s="39">
        <v>1</v>
      </c>
      <c r="X47" s="39">
        <v>1</v>
      </c>
      <c r="Y47" s="50">
        <f t="shared" si="1"/>
        <v>1</v>
      </c>
      <c r="Z47" s="110" t="s">
        <v>367</v>
      </c>
      <c r="AA47" s="319" t="s">
        <v>427</v>
      </c>
      <c r="AB47" s="11"/>
      <c r="AC47" s="11"/>
      <c r="AD47" s="13"/>
      <c r="AE47" s="1"/>
    </row>
    <row r="48" spans="3:33" ht="141.75" customHeight="1" thickBot="1" x14ac:dyDescent="0.3">
      <c r="C48" s="299"/>
      <c r="D48" s="302"/>
      <c r="E48" s="143"/>
      <c r="F48" s="137"/>
      <c r="G48" s="274"/>
      <c r="H48" s="277"/>
      <c r="I48" s="350"/>
      <c r="J48" s="347"/>
      <c r="K48" s="277"/>
      <c r="L48" s="348"/>
      <c r="M48" s="315"/>
      <c r="N48" s="332"/>
      <c r="O48" s="314"/>
      <c r="P48" s="44" t="s">
        <v>176</v>
      </c>
      <c r="Q48" s="33" t="s">
        <v>308</v>
      </c>
      <c r="R48" s="34" t="s">
        <v>307</v>
      </c>
      <c r="S48" s="34" t="s">
        <v>164</v>
      </c>
      <c r="T48" s="34">
        <v>0</v>
      </c>
      <c r="U48" s="88">
        <v>0</v>
      </c>
      <c r="V48" s="50" t="e">
        <f t="shared" si="0"/>
        <v>#DIV/0!</v>
      </c>
      <c r="W48" s="34">
        <v>1</v>
      </c>
      <c r="X48" s="34">
        <v>1</v>
      </c>
      <c r="Y48" s="50">
        <f t="shared" si="1"/>
        <v>1</v>
      </c>
      <c r="Z48" s="162" t="s">
        <v>367</v>
      </c>
      <c r="AA48" s="321"/>
      <c r="AB48" s="11"/>
      <c r="AC48" s="11"/>
      <c r="AD48" s="12"/>
      <c r="AE48" s="1"/>
    </row>
    <row r="49" spans="3:31" ht="155.25" customHeight="1" thickBot="1" x14ac:dyDescent="0.3">
      <c r="C49" s="299"/>
      <c r="D49" s="302"/>
      <c r="E49" s="143"/>
      <c r="F49" s="137"/>
      <c r="G49" s="274"/>
      <c r="H49" s="277"/>
      <c r="I49" s="350"/>
      <c r="J49" s="347"/>
      <c r="K49" s="277"/>
      <c r="L49" s="348"/>
      <c r="M49" s="315"/>
      <c r="N49" s="332"/>
      <c r="O49" s="314"/>
      <c r="P49" s="44" t="s">
        <v>183</v>
      </c>
      <c r="Q49" s="155" t="s">
        <v>181</v>
      </c>
      <c r="R49" s="156" t="s">
        <v>310</v>
      </c>
      <c r="S49" s="156" t="s">
        <v>182</v>
      </c>
      <c r="T49" s="156">
        <v>1</v>
      </c>
      <c r="U49" s="156">
        <v>1</v>
      </c>
      <c r="V49" s="50">
        <f>+U49/T49</f>
        <v>1</v>
      </c>
      <c r="W49" s="156">
        <v>1</v>
      </c>
      <c r="X49" s="156">
        <v>1</v>
      </c>
      <c r="Y49" s="50">
        <f>+X49/W49</f>
        <v>1</v>
      </c>
      <c r="Z49" s="163" t="s">
        <v>354</v>
      </c>
      <c r="AA49" s="119" t="s">
        <v>352</v>
      </c>
      <c r="AB49" s="11"/>
      <c r="AC49" s="11"/>
      <c r="AD49" s="12"/>
      <c r="AE49" s="1"/>
    </row>
    <row r="50" spans="3:31" ht="155.25" customHeight="1" thickBot="1" x14ac:dyDescent="0.3">
      <c r="C50" s="299"/>
      <c r="D50" s="302"/>
      <c r="E50" s="143"/>
      <c r="F50" s="137"/>
      <c r="G50" s="274"/>
      <c r="H50" s="277"/>
      <c r="I50" s="350"/>
      <c r="J50" s="347"/>
      <c r="K50" s="277"/>
      <c r="L50" s="348"/>
      <c r="M50" s="315"/>
      <c r="N50" s="333"/>
      <c r="O50" s="309"/>
      <c r="P50" s="153" t="s">
        <v>311</v>
      </c>
      <c r="Q50" s="155" t="s">
        <v>184</v>
      </c>
      <c r="R50" s="156" t="s">
        <v>312</v>
      </c>
      <c r="S50" s="156" t="s">
        <v>182</v>
      </c>
      <c r="T50" s="156">
        <v>1</v>
      </c>
      <c r="U50" s="156">
        <v>1</v>
      </c>
      <c r="V50" s="50">
        <f>+U50/T50</f>
        <v>1</v>
      </c>
      <c r="W50" s="156">
        <v>1</v>
      </c>
      <c r="X50" s="156">
        <v>1</v>
      </c>
      <c r="Y50" s="50">
        <f>+X50/W50</f>
        <v>1</v>
      </c>
      <c r="Z50" s="163" t="s">
        <v>368</v>
      </c>
      <c r="AA50" s="119" t="s">
        <v>291</v>
      </c>
      <c r="AB50" s="11"/>
      <c r="AC50" s="11"/>
      <c r="AD50" s="12"/>
      <c r="AE50" s="1"/>
    </row>
    <row r="51" spans="3:31" ht="181.5" customHeight="1" thickBot="1" x14ac:dyDescent="0.3">
      <c r="C51" s="299"/>
      <c r="D51" s="302"/>
      <c r="E51" s="143"/>
      <c r="F51" s="137"/>
      <c r="G51" s="274"/>
      <c r="H51" s="277"/>
      <c r="I51" s="350"/>
      <c r="J51" s="347"/>
      <c r="K51" s="277"/>
      <c r="L51" s="348"/>
      <c r="M51" s="315"/>
      <c r="N51" s="158" t="s">
        <v>185</v>
      </c>
      <c r="O51" s="155" t="s">
        <v>186</v>
      </c>
      <c r="P51" s="153" t="s">
        <v>187</v>
      </c>
      <c r="Q51" s="155" t="s">
        <v>313</v>
      </c>
      <c r="R51" s="156" t="s">
        <v>307</v>
      </c>
      <c r="S51" s="156" t="s">
        <v>164</v>
      </c>
      <c r="T51" s="168">
        <v>0</v>
      </c>
      <c r="U51" s="168">
        <v>0</v>
      </c>
      <c r="V51" s="50" t="e">
        <f>+U51/T51</f>
        <v>#DIV/0!</v>
      </c>
      <c r="W51" s="107">
        <v>1</v>
      </c>
      <c r="X51" s="107">
        <v>1</v>
      </c>
      <c r="Y51" s="50">
        <f t="shared" si="1"/>
        <v>1</v>
      </c>
      <c r="Z51" s="162" t="s">
        <v>367</v>
      </c>
      <c r="AA51" s="167" t="s">
        <v>369</v>
      </c>
      <c r="AB51" s="11"/>
      <c r="AC51" s="11"/>
      <c r="AD51" s="12"/>
      <c r="AE51" s="1"/>
    </row>
    <row r="52" spans="3:31" ht="189.75" customHeight="1" thickBot="1" x14ac:dyDescent="0.3">
      <c r="C52" s="299"/>
      <c r="D52" s="302"/>
      <c r="E52" s="143"/>
      <c r="F52" s="137"/>
      <c r="G52" s="274"/>
      <c r="H52" s="277"/>
      <c r="I52" s="350"/>
      <c r="J52" s="347"/>
      <c r="K52" s="277"/>
      <c r="L52" s="348"/>
      <c r="M52" s="315"/>
      <c r="N52" s="45" t="s">
        <v>188</v>
      </c>
      <c r="O52" s="33" t="s">
        <v>314</v>
      </c>
      <c r="P52" s="44" t="s">
        <v>189</v>
      </c>
      <c r="Q52" s="33" t="s">
        <v>353</v>
      </c>
      <c r="R52" s="34" t="s">
        <v>307</v>
      </c>
      <c r="S52" s="34" t="s">
        <v>164</v>
      </c>
      <c r="T52" s="39">
        <v>0</v>
      </c>
      <c r="U52" s="39">
        <v>0</v>
      </c>
      <c r="V52" s="50" t="e">
        <f t="shared" si="0"/>
        <v>#DIV/0!</v>
      </c>
      <c r="W52" s="90">
        <v>1</v>
      </c>
      <c r="X52" s="90">
        <f>+U52</f>
        <v>0</v>
      </c>
      <c r="Y52" s="50">
        <f t="shared" si="1"/>
        <v>0</v>
      </c>
      <c r="Z52" s="110" t="s">
        <v>388</v>
      </c>
      <c r="AA52" s="108"/>
      <c r="AB52" s="11"/>
      <c r="AC52" s="11"/>
      <c r="AD52" s="12"/>
      <c r="AE52" s="1"/>
    </row>
    <row r="53" spans="3:31" ht="242.25" customHeight="1" thickBot="1" x14ac:dyDescent="0.3">
      <c r="C53" s="299"/>
      <c r="D53" s="302"/>
      <c r="E53" s="143"/>
      <c r="F53" s="137"/>
      <c r="G53" s="275"/>
      <c r="H53" s="278"/>
      <c r="I53" s="351"/>
      <c r="J53" s="283"/>
      <c r="K53" s="278"/>
      <c r="L53" s="287"/>
      <c r="M53" s="289"/>
      <c r="N53" s="45" t="s">
        <v>190</v>
      </c>
      <c r="O53" s="33" t="s">
        <v>315</v>
      </c>
      <c r="P53" s="44" t="s">
        <v>191</v>
      </c>
      <c r="Q53" s="33" t="s">
        <v>356</v>
      </c>
      <c r="R53" s="34" t="s">
        <v>307</v>
      </c>
      <c r="S53" s="34" t="s">
        <v>164</v>
      </c>
      <c r="T53" s="34">
        <v>0.17</v>
      </c>
      <c r="U53" s="34">
        <v>0.17</v>
      </c>
      <c r="V53" s="50">
        <f t="shared" si="0"/>
        <v>1</v>
      </c>
      <c r="W53" s="79">
        <f>49%+T53</f>
        <v>0.66</v>
      </c>
      <c r="X53" s="79">
        <f>49%+U53</f>
        <v>0.66</v>
      </c>
      <c r="Y53" s="50">
        <f t="shared" si="1"/>
        <v>1</v>
      </c>
      <c r="Z53" s="163" t="s">
        <v>428</v>
      </c>
      <c r="AA53" s="119" t="s">
        <v>293</v>
      </c>
      <c r="AB53" s="11"/>
      <c r="AC53" s="11"/>
      <c r="AD53" s="12"/>
      <c r="AE53" s="1"/>
    </row>
    <row r="54" spans="3:31" ht="218.25" customHeight="1" thickBot="1" x14ac:dyDescent="0.3">
      <c r="C54" s="299"/>
      <c r="D54" s="302"/>
      <c r="E54" s="143"/>
      <c r="F54" s="137"/>
      <c r="G54" s="273">
        <v>309</v>
      </c>
      <c r="H54" s="276" t="s">
        <v>192</v>
      </c>
      <c r="I54" s="349">
        <v>0.05</v>
      </c>
      <c r="J54" s="282" t="s">
        <v>193</v>
      </c>
      <c r="K54" s="276" t="s">
        <v>194</v>
      </c>
      <c r="L54" s="286" t="s">
        <v>81</v>
      </c>
      <c r="M54" s="288">
        <v>1</v>
      </c>
      <c r="N54" s="45" t="s">
        <v>195</v>
      </c>
      <c r="O54" s="33" t="s">
        <v>330</v>
      </c>
      <c r="P54" s="44" t="s">
        <v>196</v>
      </c>
      <c r="Q54" s="33" t="s">
        <v>197</v>
      </c>
      <c r="R54" s="34" t="s">
        <v>331</v>
      </c>
      <c r="S54" s="34" t="s">
        <v>42</v>
      </c>
      <c r="T54" s="36">
        <v>0</v>
      </c>
      <c r="U54" s="36">
        <v>0</v>
      </c>
      <c r="V54" s="50" t="e">
        <f>+U54/T54</f>
        <v>#DIV/0!</v>
      </c>
      <c r="W54" s="36">
        <v>1</v>
      </c>
      <c r="X54" s="36">
        <f>+U54</f>
        <v>0</v>
      </c>
      <c r="Y54" s="50">
        <f t="shared" si="1"/>
        <v>0</v>
      </c>
      <c r="Z54" s="116" t="s">
        <v>364</v>
      </c>
      <c r="AA54" s="115" t="s">
        <v>439</v>
      </c>
      <c r="AB54" s="20"/>
      <c r="AC54" s="20"/>
      <c r="AD54" s="21"/>
      <c r="AE54" s="1"/>
    </row>
    <row r="55" spans="3:31" ht="200.25" customHeight="1" thickBot="1" x14ac:dyDescent="0.3">
      <c r="C55" s="299"/>
      <c r="D55" s="302"/>
      <c r="E55" s="143"/>
      <c r="F55" s="137"/>
      <c r="G55" s="274"/>
      <c r="H55" s="277"/>
      <c r="I55" s="350"/>
      <c r="J55" s="347"/>
      <c r="K55" s="277"/>
      <c r="L55" s="348"/>
      <c r="M55" s="315"/>
      <c r="N55" s="45" t="s">
        <v>198</v>
      </c>
      <c r="O55" s="33" t="s">
        <v>199</v>
      </c>
      <c r="P55" s="44" t="s">
        <v>200</v>
      </c>
      <c r="Q55" s="33" t="s">
        <v>201</v>
      </c>
      <c r="R55" s="34" t="s">
        <v>202</v>
      </c>
      <c r="S55" s="34" t="s">
        <v>42</v>
      </c>
      <c r="T55" s="36">
        <v>1</v>
      </c>
      <c r="U55" s="36">
        <v>1</v>
      </c>
      <c r="V55" s="50">
        <f t="shared" si="0"/>
        <v>1</v>
      </c>
      <c r="W55" s="36">
        <f>1+T55</f>
        <v>2</v>
      </c>
      <c r="X55" s="36">
        <f>+U55</f>
        <v>1</v>
      </c>
      <c r="Y55" s="50">
        <f t="shared" si="1"/>
        <v>0.5</v>
      </c>
      <c r="Z55" s="110" t="s">
        <v>429</v>
      </c>
      <c r="AA55" s="133" t="s">
        <v>387</v>
      </c>
      <c r="AB55" s="20"/>
      <c r="AC55" s="20"/>
      <c r="AD55" s="21"/>
      <c r="AE55" s="1"/>
    </row>
    <row r="56" spans="3:31" ht="162" customHeight="1" thickBot="1" x14ac:dyDescent="0.3">
      <c r="C56" s="299"/>
      <c r="D56" s="302"/>
      <c r="E56" s="143"/>
      <c r="F56" s="137"/>
      <c r="G56" s="274"/>
      <c r="H56" s="277"/>
      <c r="I56" s="350"/>
      <c r="J56" s="347"/>
      <c r="K56" s="277"/>
      <c r="L56" s="348"/>
      <c r="M56" s="315"/>
      <c r="N56" s="45" t="s">
        <v>203</v>
      </c>
      <c r="O56" s="33" t="s">
        <v>204</v>
      </c>
      <c r="P56" s="44" t="s">
        <v>205</v>
      </c>
      <c r="Q56" s="33" t="s">
        <v>206</v>
      </c>
      <c r="R56" s="34" t="s">
        <v>207</v>
      </c>
      <c r="S56" s="34" t="s">
        <v>42</v>
      </c>
      <c r="T56" s="36">
        <v>2</v>
      </c>
      <c r="U56" s="36">
        <v>0</v>
      </c>
      <c r="V56" s="50">
        <f t="shared" si="0"/>
        <v>0</v>
      </c>
      <c r="W56" s="36">
        <f>6+T56</f>
        <v>8</v>
      </c>
      <c r="X56" s="36">
        <f>+U56</f>
        <v>0</v>
      </c>
      <c r="Y56" s="50">
        <f t="shared" si="1"/>
        <v>0</v>
      </c>
      <c r="Z56" s="162" t="s">
        <v>389</v>
      </c>
      <c r="AA56" s="167" t="s">
        <v>390</v>
      </c>
      <c r="AB56" s="20"/>
      <c r="AC56" s="20"/>
      <c r="AD56" s="21"/>
      <c r="AE56" s="1"/>
    </row>
    <row r="57" spans="3:31" ht="195" customHeight="1" thickBot="1" x14ac:dyDescent="0.3">
      <c r="C57" s="299"/>
      <c r="D57" s="302"/>
      <c r="E57" s="143"/>
      <c r="F57" s="137"/>
      <c r="G57" s="274"/>
      <c r="H57" s="277"/>
      <c r="I57" s="350"/>
      <c r="J57" s="347"/>
      <c r="K57" s="277"/>
      <c r="L57" s="348"/>
      <c r="M57" s="315"/>
      <c r="N57" s="45" t="s">
        <v>208</v>
      </c>
      <c r="O57" s="33" t="s">
        <v>209</v>
      </c>
      <c r="P57" s="44" t="s">
        <v>210</v>
      </c>
      <c r="Q57" s="33" t="s">
        <v>194</v>
      </c>
      <c r="R57" s="34" t="s">
        <v>194</v>
      </c>
      <c r="S57" s="34" t="s">
        <v>42</v>
      </c>
      <c r="T57" s="36">
        <v>0</v>
      </c>
      <c r="U57" s="36">
        <v>0</v>
      </c>
      <c r="V57" s="50" t="e">
        <f t="shared" si="0"/>
        <v>#DIV/0!</v>
      </c>
      <c r="W57" s="36">
        <v>2</v>
      </c>
      <c r="X57" s="36">
        <f>1+U57</f>
        <v>1</v>
      </c>
      <c r="Y57" s="50">
        <f t="shared" si="1"/>
        <v>0.5</v>
      </c>
      <c r="Z57" s="110" t="s">
        <v>364</v>
      </c>
      <c r="AA57" s="167" t="s">
        <v>391</v>
      </c>
      <c r="AB57" s="20"/>
      <c r="AC57" s="20"/>
      <c r="AD57" s="21"/>
      <c r="AE57" s="1"/>
    </row>
    <row r="58" spans="3:31" ht="119.25" customHeight="1" thickBot="1" x14ac:dyDescent="0.3">
      <c r="C58" s="299"/>
      <c r="D58" s="302"/>
      <c r="E58" s="143"/>
      <c r="F58" s="137"/>
      <c r="G58" s="274"/>
      <c r="H58" s="277"/>
      <c r="I58" s="350"/>
      <c r="J58" s="347"/>
      <c r="K58" s="277"/>
      <c r="L58" s="348"/>
      <c r="M58" s="315"/>
      <c r="N58" s="331" t="s">
        <v>211</v>
      </c>
      <c r="O58" s="308" t="s">
        <v>212</v>
      </c>
      <c r="P58" s="44" t="s">
        <v>213</v>
      </c>
      <c r="Q58" s="33" t="s">
        <v>214</v>
      </c>
      <c r="R58" s="34" t="s">
        <v>215</v>
      </c>
      <c r="S58" s="34" t="s">
        <v>42</v>
      </c>
      <c r="T58" s="36">
        <v>0</v>
      </c>
      <c r="U58" s="36">
        <v>0</v>
      </c>
      <c r="V58" s="50" t="e">
        <f>+U58/T58</f>
        <v>#DIV/0!</v>
      </c>
      <c r="W58" s="36">
        <v>10</v>
      </c>
      <c r="X58" s="36">
        <f>+U58</f>
        <v>0</v>
      </c>
      <c r="Y58" s="50">
        <f t="shared" si="1"/>
        <v>0</v>
      </c>
      <c r="Z58" s="110" t="s">
        <v>375</v>
      </c>
      <c r="AA58" s="111" t="s">
        <v>292</v>
      </c>
      <c r="AB58" s="20"/>
      <c r="AC58" s="20"/>
      <c r="AD58" s="21"/>
      <c r="AE58" s="1"/>
    </row>
    <row r="59" spans="3:31" ht="235.5" customHeight="1" thickBot="1" x14ac:dyDescent="0.3">
      <c r="C59" s="299"/>
      <c r="D59" s="302"/>
      <c r="E59" s="143"/>
      <c r="F59" s="137"/>
      <c r="G59" s="274"/>
      <c r="H59" s="277"/>
      <c r="I59" s="350"/>
      <c r="J59" s="347"/>
      <c r="K59" s="277"/>
      <c r="L59" s="348"/>
      <c r="M59" s="315"/>
      <c r="N59" s="332"/>
      <c r="O59" s="314"/>
      <c r="P59" s="44" t="s">
        <v>216</v>
      </c>
      <c r="Q59" s="33" t="s">
        <v>217</v>
      </c>
      <c r="R59" s="34" t="s">
        <v>218</v>
      </c>
      <c r="S59" s="34" t="s">
        <v>219</v>
      </c>
      <c r="T59" s="36">
        <v>8</v>
      </c>
      <c r="U59" s="36">
        <v>11</v>
      </c>
      <c r="V59" s="50">
        <f>+T59/U59</f>
        <v>0.72727272727272729</v>
      </c>
      <c r="W59" s="36">
        <v>8</v>
      </c>
      <c r="X59" s="112">
        <v>8.67</v>
      </c>
      <c r="Y59" s="50">
        <f>+W59/X59</f>
        <v>0.92272202998846597</v>
      </c>
      <c r="Z59" s="110" t="s">
        <v>430</v>
      </c>
      <c r="AA59" s="114" t="s">
        <v>431</v>
      </c>
      <c r="AB59" s="20"/>
      <c r="AC59" s="20"/>
      <c r="AD59" s="21"/>
      <c r="AE59" s="1"/>
    </row>
    <row r="60" spans="3:31" ht="231.75" customHeight="1" thickBot="1" x14ac:dyDescent="0.3">
      <c r="C60" s="299"/>
      <c r="D60" s="302"/>
      <c r="E60" s="143"/>
      <c r="F60" s="137"/>
      <c r="G60" s="274"/>
      <c r="H60" s="277"/>
      <c r="I60" s="350"/>
      <c r="J60" s="347"/>
      <c r="K60" s="277"/>
      <c r="L60" s="348"/>
      <c r="M60" s="315"/>
      <c r="N60" s="333"/>
      <c r="O60" s="309"/>
      <c r="P60" s="44" t="s">
        <v>220</v>
      </c>
      <c r="Q60" s="33" t="s">
        <v>221</v>
      </c>
      <c r="R60" s="34" t="s">
        <v>222</v>
      </c>
      <c r="S60" s="34" t="s">
        <v>335</v>
      </c>
      <c r="T60" s="34">
        <v>1</v>
      </c>
      <c r="U60" s="34">
        <v>0.8</v>
      </c>
      <c r="V60" s="50">
        <f t="shared" si="0"/>
        <v>0.8</v>
      </c>
      <c r="W60" s="34">
        <v>1</v>
      </c>
      <c r="X60" s="91">
        <v>0.90300000000000002</v>
      </c>
      <c r="Y60" s="50">
        <f t="shared" si="1"/>
        <v>0.90300000000000002</v>
      </c>
      <c r="Z60" s="113" t="s">
        <v>432</v>
      </c>
      <c r="AA60" s="111" t="s">
        <v>291</v>
      </c>
      <c r="AB60" s="20"/>
      <c r="AC60" s="20"/>
      <c r="AD60" s="21"/>
      <c r="AE60" s="1"/>
    </row>
    <row r="61" spans="3:31" ht="169.5" customHeight="1" thickBot="1" x14ac:dyDescent="0.3">
      <c r="C61" s="299"/>
      <c r="D61" s="302"/>
      <c r="E61" s="143"/>
      <c r="F61" s="137"/>
      <c r="G61" s="274"/>
      <c r="H61" s="277"/>
      <c r="I61" s="350"/>
      <c r="J61" s="347"/>
      <c r="K61" s="277"/>
      <c r="L61" s="348"/>
      <c r="M61" s="315"/>
      <c r="N61" s="45" t="s">
        <v>224</v>
      </c>
      <c r="O61" s="33" t="s">
        <v>225</v>
      </c>
      <c r="P61" s="44" t="s">
        <v>226</v>
      </c>
      <c r="Q61" s="33" t="s">
        <v>227</v>
      </c>
      <c r="R61" s="34" t="s">
        <v>228</v>
      </c>
      <c r="S61" s="34" t="s">
        <v>229</v>
      </c>
      <c r="T61" s="34">
        <v>0.1</v>
      </c>
      <c r="U61" s="34">
        <v>0</v>
      </c>
      <c r="V61" s="50">
        <f t="shared" si="0"/>
        <v>0</v>
      </c>
      <c r="W61" s="34">
        <f>90%+T61</f>
        <v>1</v>
      </c>
      <c r="X61" s="39">
        <f>80%+U61</f>
        <v>0.8</v>
      </c>
      <c r="Y61" s="50">
        <f t="shared" si="1"/>
        <v>0.8</v>
      </c>
      <c r="Z61" s="113" t="s">
        <v>376</v>
      </c>
      <c r="AA61" s="111" t="s">
        <v>293</v>
      </c>
      <c r="AB61" s="20"/>
      <c r="AC61" s="20"/>
      <c r="AD61" s="21"/>
      <c r="AE61" s="1"/>
    </row>
    <row r="62" spans="3:31" ht="343.5" customHeight="1" thickBot="1" x14ac:dyDescent="0.3">
      <c r="C62" s="299"/>
      <c r="D62" s="302"/>
      <c r="E62" s="143"/>
      <c r="F62" s="137"/>
      <c r="G62" s="274"/>
      <c r="H62" s="277"/>
      <c r="I62" s="350"/>
      <c r="J62" s="347"/>
      <c r="K62" s="277"/>
      <c r="L62" s="348"/>
      <c r="M62" s="315"/>
      <c r="N62" s="45" t="s">
        <v>230</v>
      </c>
      <c r="O62" s="33" t="s">
        <v>232</v>
      </c>
      <c r="P62" s="44" t="s">
        <v>231</v>
      </c>
      <c r="Q62" s="33" t="s">
        <v>233</v>
      </c>
      <c r="R62" s="34" t="s">
        <v>234</v>
      </c>
      <c r="S62" s="34" t="s">
        <v>235</v>
      </c>
      <c r="T62" s="39">
        <v>0.2</v>
      </c>
      <c r="U62" s="39">
        <v>1</v>
      </c>
      <c r="V62" s="50">
        <f t="shared" si="0"/>
        <v>5</v>
      </c>
      <c r="W62" s="39">
        <f>80%+T62</f>
        <v>1</v>
      </c>
      <c r="X62" s="39">
        <f>+U62</f>
        <v>1</v>
      </c>
      <c r="Y62" s="50">
        <f t="shared" si="1"/>
        <v>1</v>
      </c>
      <c r="Z62" s="128" t="s">
        <v>433</v>
      </c>
      <c r="AA62" s="166" t="s">
        <v>434</v>
      </c>
      <c r="AB62" s="20"/>
      <c r="AC62" s="20"/>
      <c r="AD62" s="21"/>
      <c r="AE62" s="1"/>
    </row>
    <row r="63" spans="3:31" ht="192" customHeight="1" thickBot="1" x14ac:dyDescent="0.3">
      <c r="C63" s="299"/>
      <c r="D63" s="302"/>
      <c r="E63" s="143"/>
      <c r="F63" s="137"/>
      <c r="G63" s="274"/>
      <c r="H63" s="277"/>
      <c r="I63" s="350"/>
      <c r="J63" s="347"/>
      <c r="K63" s="277"/>
      <c r="L63" s="348"/>
      <c r="M63" s="315"/>
      <c r="N63" s="331" t="s">
        <v>236</v>
      </c>
      <c r="O63" s="308" t="s">
        <v>237</v>
      </c>
      <c r="P63" s="44" t="s">
        <v>238</v>
      </c>
      <c r="Q63" s="33" t="s">
        <v>239</v>
      </c>
      <c r="R63" s="34" t="s">
        <v>240</v>
      </c>
      <c r="S63" s="34" t="s">
        <v>42</v>
      </c>
      <c r="T63" s="36">
        <v>750</v>
      </c>
      <c r="U63" s="36">
        <v>894</v>
      </c>
      <c r="V63" s="50">
        <f t="shared" si="0"/>
        <v>1.1919999999999999</v>
      </c>
      <c r="W63" s="36">
        <f>1550+T6</f>
        <v>1550</v>
      </c>
      <c r="X63" s="40">
        <f>1586+U63</f>
        <v>2480</v>
      </c>
      <c r="Y63" s="50">
        <f t="shared" si="1"/>
        <v>1.6</v>
      </c>
      <c r="Z63" s="120" t="s">
        <v>371</v>
      </c>
      <c r="AA63" s="121" t="s">
        <v>293</v>
      </c>
      <c r="AB63" s="20"/>
      <c r="AC63" s="20"/>
      <c r="AD63" s="21"/>
      <c r="AE63" s="1"/>
    </row>
    <row r="64" spans="3:31" ht="175.5" customHeight="1" thickBot="1" x14ac:dyDescent="0.3">
      <c r="C64" s="299"/>
      <c r="D64" s="302"/>
      <c r="E64" s="143"/>
      <c r="F64" s="137"/>
      <c r="G64" s="274"/>
      <c r="H64" s="277"/>
      <c r="I64" s="350"/>
      <c r="J64" s="347"/>
      <c r="K64" s="277"/>
      <c r="L64" s="348"/>
      <c r="M64" s="315"/>
      <c r="N64" s="333"/>
      <c r="O64" s="309"/>
      <c r="P64" s="44" t="s">
        <v>241</v>
      </c>
      <c r="Q64" s="33" t="s">
        <v>324</v>
      </c>
      <c r="R64" s="34" t="s">
        <v>325</v>
      </c>
      <c r="S64" s="34" t="s">
        <v>77</v>
      </c>
      <c r="T64" s="79">
        <v>1</v>
      </c>
      <c r="U64" s="79">
        <v>1</v>
      </c>
      <c r="V64" s="50">
        <f t="shared" si="0"/>
        <v>1</v>
      </c>
      <c r="W64" s="34">
        <v>1</v>
      </c>
      <c r="X64" s="91">
        <v>0.99</v>
      </c>
      <c r="Y64" s="50">
        <f t="shared" si="1"/>
        <v>0.99</v>
      </c>
      <c r="Z64" s="113" t="s">
        <v>435</v>
      </c>
      <c r="AA64" s="115" t="s">
        <v>436</v>
      </c>
      <c r="AB64" s="20"/>
      <c r="AC64" s="20"/>
      <c r="AD64" s="21"/>
      <c r="AE64" s="1"/>
    </row>
    <row r="65" spans="1:31" ht="376.5" customHeight="1" thickBot="1" x14ac:dyDescent="0.3">
      <c r="C65" s="299"/>
      <c r="D65" s="302"/>
      <c r="E65" s="143"/>
      <c r="F65" s="137"/>
      <c r="G65" s="274"/>
      <c r="H65" s="277"/>
      <c r="I65" s="350"/>
      <c r="J65" s="347"/>
      <c r="K65" s="277"/>
      <c r="L65" s="348"/>
      <c r="M65" s="315"/>
      <c r="N65" s="331" t="s">
        <v>242</v>
      </c>
      <c r="O65" s="356" t="s">
        <v>243</v>
      </c>
      <c r="P65" s="44" t="s">
        <v>244</v>
      </c>
      <c r="Q65" s="33" t="s">
        <v>245</v>
      </c>
      <c r="R65" s="34" t="s">
        <v>228</v>
      </c>
      <c r="S65" s="34" t="s">
        <v>229</v>
      </c>
      <c r="T65" s="91">
        <v>0.23300000000000001</v>
      </c>
      <c r="U65" s="91">
        <v>0.21329999999999999</v>
      </c>
      <c r="V65" s="50">
        <f>+U65/T65</f>
        <v>0.91545064377682395</v>
      </c>
      <c r="W65" s="88">
        <f>30%+T65</f>
        <v>0.53300000000000003</v>
      </c>
      <c r="X65" s="91">
        <f>30%+U65</f>
        <v>0.51329999999999998</v>
      </c>
      <c r="Y65" s="50">
        <f t="shared" si="1"/>
        <v>0.96303939962476537</v>
      </c>
      <c r="Z65" s="113" t="s">
        <v>437</v>
      </c>
      <c r="AA65" s="122" t="s">
        <v>372</v>
      </c>
      <c r="AB65" s="20"/>
      <c r="AC65" s="20"/>
      <c r="AD65" s="21"/>
      <c r="AE65" s="1"/>
    </row>
    <row r="66" spans="1:31" ht="394.5" customHeight="1" thickBot="1" x14ac:dyDescent="0.3">
      <c r="C66" s="299"/>
      <c r="D66" s="302"/>
      <c r="E66" s="143"/>
      <c r="F66" s="137"/>
      <c r="G66" s="275"/>
      <c r="H66" s="278"/>
      <c r="I66" s="351"/>
      <c r="J66" s="283"/>
      <c r="K66" s="278"/>
      <c r="L66" s="287"/>
      <c r="M66" s="289"/>
      <c r="N66" s="333"/>
      <c r="O66" s="357"/>
      <c r="P66" s="44" t="s">
        <v>294</v>
      </c>
      <c r="Q66" s="33" t="s">
        <v>326</v>
      </c>
      <c r="R66" s="34" t="s">
        <v>228</v>
      </c>
      <c r="S66" s="34" t="s">
        <v>164</v>
      </c>
      <c r="T66" s="79">
        <v>0.18329999999999999</v>
      </c>
      <c r="U66" s="79">
        <v>0.18329999999999999</v>
      </c>
      <c r="V66" s="50">
        <f>+U66/T66</f>
        <v>1</v>
      </c>
      <c r="W66" s="88">
        <f>45%+T66</f>
        <v>0.63329999999999997</v>
      </c>
      <c r="X66" s="39">
        <f>27.5%+U66</f>
        <v>0.45830000000000004</v>
      </c>
      <c r="Y66" s="50">
        <f>+X66/W66</f>
        <v>0.72366966682456979</v>
      </c>
      <c r="Z66" s="113" t="s">
        <v>373</v>
      </c>
      <c r="AA66" s="123" t="s">
        <v>374</v>
      </c>
      <c r="AB66" s="20"/>
      <c r="AC66" s="20"/>
      <c r="AD66" s="21"/>
      <c r="AE66" s="1"/>
    </row>
    <row r="67" spans="1:31" ht="321.75" customHeight="1" thickBot="1" x14ac:dyDescent="0.3">
      <c r="C67" s="299"/>
      <c r="D67" s="302"/>
      <c r="E67" s="324">
        <v>4</v>
      </c>
      <c r="F67" s="327" t="s">
        <v>246</v>
      </c>
      <c r="G67" s="138">
        <v>401</v>
      </c>
      <c r="H67" s="145" t="s">
        <v>247</v>
      </c>
      <c r="I67" s="159">
        <v>0.35</v>
      </c>
      <c r="J67" s="140" t="s">
        <v>248</v>
      </c>
      <c r="K67" s="145" t="s">
        <v>249</v>
      </c>
      <c r="L67" s="150" t="s">
        <v>81</v>
      </c>
      <c r="M67" s="164">
        <v>1</v>
      </c>
      <c r="N67" s="65" t="s">
        <v>250</v>
      </c>
      <c r="O67" s="41" t="s">
        <v>327</v>
      </c>
      <c r="P67" s="46" t="s">
        <v>251</v>
      </c>
      <c r="Q67" s="41" t="s">
        <v>328</v>
      </c>
      <c r="R67" s="42" t="s">
        <v>329</v>
      </c>
      <c r="S67" s="42" t="s">
        <v>42</v>
      </c>
      <c r="T67" s="43">
        <v>0</v>
      </c>
      <c r="U67" s="43">
        <v>0</v>
      </c>
      <c r="V67" s="50" t="e">
        <f t="shared" si="0"/>
        <v>#DIV/0!</v>
      </c>
      <c r="W67" s="43">
        <v>10</v>
      </c>
      <c r="X67" s="43">
        <f>10+U67</f>
        <v>10</v>
      </c>
      <c r="Y67" s="50">
        <f t="shared" si="1"/>
        <v>1</v>
      </c>
      <c r="Z67" s="116" t="s">
        <v>377</v>
      </c>
      <c r="AA67" s="114" t="s">
        <v>378</v>
      </c>
      <c r="AB67" s="22"/>
      <c r="AC67" s="22"/>
      <c r="AD67" s="23">
        <f>6+5+8+4+2+13+24</f>
        <v>62</v>
      </c>
      <c r="AE67" s="1">
        <f>91-62</f>
        <v>29</v>
      </c>
    </row>
    <row r="68" spans="1:31" ht="174.75" customHeight="1" thickBot="1" x14ac:dyDescent="0.3">
      <c r="C68" s="299"/>
      <c r="D68" s="302"/>
      <c r="E68" s="325"/>
      <c r="F68" s="311"/>
      <c r="G68" s="273">
        <v>402</v>
      </c>
      <c r="H68" s="276" t="s">
        <v>284</v>
      </c>
      <c r="I68" s="349">
        <v>0.35</v>
      </c>
      <c r="J68" s="14" t="s">
        <v>252</v>
      </c>
      <c r="K68" s="47" t="s">
        <v>253</v>
      </c>
      <c r="L68" s="72" t="s">
        <v>81</v>
      </c>
      <c r="M68" s="46">
        <v>0.6</v>
      </c>
      <c r="N68" s="354" t="s">
        <v>254</v>
      </c>
      <c r="O68" s="365" t="s">
        <v>332</v>
      </c>
      <c r="P68" s="367" t="s">
        <v>255</v>
      </c>
      <c r="Q68" s="369" t="s">
        <v>333</v>
      </c>
      <c r="R68" s="359" t="s">
        <v>334</v>
      </c>
      <c r="S68" s="359" t="s">
        <v>256</v>
      </c>
      <c r="T68" s="359">
        <v>0</v>
      </c>
      <c r="U68" s="359">
        <v>0</v>
      </c>
      <c r="V68" s="292" t="e">
        <f t="shared" si="0"/>
        <v>#DIV/0!</v>
      </c>
      <c r="W68" s="359">
        <v>0</v>
      </c>
      <c r="X68" s="359">
        <f>+U68</f>
        <v>0</v>
      </c>
      <c r="Y68" s="292" t="e">
        <f t="shared" si="1"/>
        <v>#DIV/0!</v>
      </c>
      <c r="Z68" s="363" t="s">
        <v>438</v>
      </c>
      <c r="AA68" s="358" t="s">
        <v>400</v>
      </c>
      <c r="AB68" s="24"/>
      <c r="AC68" s="24"/>
      <c r="AD68" s="25"/>
      <c r="AE68" s="1"/>
    </row>
    <row r="69" spans="1:31" ht="160.5" customHeight="1" thickBot="1" x14ac:dyDescent="0.3">
      <c r="C69" s="299"/>
      <c r="D69" s="302"/>
      <c r="E69" s="325"/>
      <c r="F69" s="311"/>
      <c r="G69" s="275"/>
      <c r="H69" s="278"/>
      <c r="I69" s="351"/>
      <c r="J69" s="14" t="s">
        <v>257</v>
      </c>
      <c r="K69" s="147" t="s">
        <v>194</v>
      </c>
      <c r="L69" s="151" t="s">
        <v>81</v>
      </c>
      <c r="M69" s="165">
        <v>0.4</v>
      </c>
      <c r="N69" s="355"/>
      <c r="O69" s="366"/>
      <c r="P69" s="368"/>
      <c r="Q69" s="370"/>
      <c r="R69" s="360"/>
      <c r="S69" s="360"/>
      <c r="T69" s="360"/>
      <c r="U69" s="360"/>
      <c r="V69" s="293"/>
      <c r="W69" s="360"/>
      <c r="X69" s="360"/>
      <c r="Y69" s="293"/>
      <c r="Z69" s="364"/>
      <c r="AA69" s="335"/>
      <c r="AB69" s="24"/>
      <c r="AC69" s="24"/>
      <c r="AD69" s="25"/>
      <c r="AE69" s="1"/>
    </row>
    <row r="70" spans="1:31" ht="187.5" customHeight="1" thickBot="1" x14ac:dyDescent="0.3">
      <c r="C70" s="300"/>
      <c r="D70" s="303"/>
      <c r="E70" s="326"/>
      <c r="F70" s="328"/>
      <c r="G70" s="139">
        <v>403</v>
      </c>
      <c r="H70" s="147" t="s">
        <v>258</v>
      </c>
      <c r="I70" s="160">
        <v>0.3</v>
      </c>
      <c r="J70" s="14" t="s">
        <v>259</v>
      </c>
      <c r="K70" s="147" t="s">
        <v>260</v>
      </c>
      <c r="L70" s="151" t="s">
        <v>81</v>
      </c>
      <c r="M70" s="165">
        <v>1</v>
      </c>
      <c r="N70" s="65" t="s">
        <v>261</v>
      </c>
      <c r="O70" s="41" t="s">
        <v>262</v>
      </c>
      <c r="P70" s="46" t="s">
        <v>263</v>
      </c>
      <c r="Q70" s="41" t="s">
        <v>194</v>
      </c>
      <c r="R70" s="42" t="s">
        <v>194</v>
      </c>
      <c r="S70" s="42" t="s">
        <v>42</v>
      </c>
      <c r="T70" s="43">
        <v>0</v>
      </c>
      <c r="U70" s="43">
        <v>1</v>
      </c>
      <c r="V70" s="51">
        <v>1</v>
      </c>
      <c r="W70" s="43">
        <v>1</v>
      </c>
      <c r="X70" s="43">
        <f>+U70</f>
        <v>1</v>
      </c>
      <c r="Y70" s="51">
        <f t="shared" si="1"/>
        <v>1</v>
      </c>
      <c r="Z70" s="116" t="s">
        <v>399</v>
      </c>
      <c r="AA70" s="111" t="s">
        <v>291</v>
      </c>
      <c r="AB70" s="22"/>
      <c r="AC70" s="22"/>
      <c r="AD70" s="23"/>
      <c r="AE70" s="1"/>
    </row>
    <row r="71" spans="1:31" ht="12.75" customHeight="1" x14ac:dyDescent="0.35">
      <c r="E71" s="26"/>
      <c r="F71" s="2"/>
      <c r="G71" s="1"/>
      <c r="H71" s="3"/>
      <c r="I71" s="4"/>
      <c r="J71" s="1"/>
      <c r="K71" s="3"/>
      <c r="L71" s="5"/>
      <c r="M71" s="27"/>
      <c r="N71" s="27"/>
      <c r="O71" s="27"/>
      <c r="P71" s="27"/>
      <c r="Q71" s="27"/>
      <c r="R71" s="27"/>
      <c r="S71" s="27"/>
      <c r="T71" s="27"/>
      <c r="U71" s="27"/>
      <c r="V71" s="27"/>
      <c r="W71" s="27"/>
      <c r="X71" s="27"/>
      <c r="Y71" s="27"/>
      <c r="Z71" s="27"/>
      <c r="AA71" s="27"/>
      <c r="AB71" s="27"/>
      <c r="AC71" s="27"/>
      <c r="AD71" s="27"/>
      <c r="AE71" s="1"/>
    </row>
    <row r="72" spans="1:31" s="29" customFormat="1" x14ac:dyDescent="0.35">
      <c r="A72" s="2"/>
      <c r="B72" s="2"/>
      <c r="C72" s="2"/>
      <c r="D72" s="2"/>
      <c r="E72" s="1"/>
      <c r="F72" s="2"/>
      <c r="G72" s="1"/>
      <c r="H72" s="3"/>
      <c r="I72" s="28"/>
      <c r="J72" s="1"/>
      <c r="K72" s="3"/>
      <c r="L72" s="5"/>
      <c r="M72" s="1"/>
      <c r="N72" s="1"/>
      <c r="O72" s="1"/>
      <c r="P72" s="1"/>
      <c r="Q72" s="1"/>
      <c r="R72" s="1"/>
      <c r="S72" s="1"/>
      <c r="T72" s="1"/>
      <c r="U72" s="1"/>
      <c r="V72" s="1"/>
      <c r="W72" s="1"/>
      <c r="X72" s="1"/>
      <c r="Y72" s="1"/>
      <c r="Z72" s="1"/>
      <c r="AA72" s="1"/>
      <c r="AB72" s="1"/>
      <c r="AC72" s="1"/>
      <c r="AD72" s="1"/>
      <c r="AE72" s="2"/>
    </row>
    <row r="73" spans="1:31" x14ac:dyDescent="0.35">
      <c r="E73" s="1"/>
      <c r="F73" s="2"/>
      <c r="G73" s="1"/>
      <c r="H73" s="3"/>
      <c r="I73" s="4"/>
      <c r="J73" s="1"/>
      <c r="K73" s="3"/>
      <c r="L73" s="5"/>
      <c r="M73" s="1"/>
      <c r="N73" s="1"/>
      <c r="O73" s="1"/>
      <c r="P73" s="1"/>
      <c r="Q73" s="1"/>
      <c r="R73" s="1"/>
      <c r="S73" s="1"/>
      <c r="T73" s="1"/>
      <c r="U73" s="1"/>
      <c r="V73" s="1"/>
      <c r="W73" s="1"/>
      <c r="X73" s="1"/>
      <c r="Y73" s="1"/>
      <c r="Z73" s="1"/>
      <c r="AA73" s="1"/>
      <c r="AB73" s="1"/>
      <c r="AC73" s="1"/>
      <c r="AD73" s="1"/>
      <c r="AE73" s="1"/>
    </row>
    <row r="74" spans="1:31" x14ac:dyDescent="0.35">
      <c r="E74" s="1"/>
      <c r="F74" s="2"/>
      <c r="G74" s="1"/>
      <c r="H74" s="3"/>
      <c r="I74" s="4"/>
      <c r="J74" s="1"/>
      <c r="K74" s="3"/>
      <c r="L74" s="5"/>
      <c r="M74" s="1"/>
      <c r="N74" s="1"/>
      <c r="O74" s="1"/>
      <c r="P74" s="1"/>
      <c r="Q74" s="1"/>
      <c r="R74" s="1"/>
      <c r="S74" s="1"/>
      <c r="T74" s="1"/>
      <c r="U74" s="1"/>
      <c r="V74" s="1"/>
      <c r="W74" s="1"/>
      <c r="X74" s="1"/>
      <c r="Y74" s="1"/>
      <c r="Z74" s="1"/>
      <c r="AA74" s="1"/>
      <c r="AB74" s="1"/>
      <c r="AC74" s="1"/>
      <c r="AD74" s="1"/>
      <c r="AE74" s="1"/>
    </row>
  </sheetData>
  <sheetProtection algorithmName="SHA-512" hashValue="KKCo2XkkmvVDgWdcWENPvq0WDzNQ6wLK+bzFxwJnHrQWIA+Wi9Newib42e5e3F6lqGqOwVKTzqka4ZDEhtl/eA==" saltValue="l13JNNqHk5u4lQJBmFFMfw==" spinCount="100000" sheet="1" objects="1" scenarios="1"/>
  <mergeCells count="189">
    <mergeCell ref="AA10:AA11"/>
    <mergeCell ref="X68:X69"/>
    <mergeCell ref="Y68:Y69"/>
    <mergeCell ref="Z68:Z69"/>
    <mergeCell ref="O68:O69"/>
    <mergeCell ref="P68:P69"/>
    <mergeCell ref="Q68:Q69"/>
    <mergeCell ref="R68:R69"/>
    <mergeCell ref="S68:S69"/>
    <mergeCell ref="T68:T69"/>
    <mergeCell ref="AA47:AA48"/>
    <mergeCell ref="Z39:Z41"/>
    <mergeCell ref="AA39:AA41"/>
    <mergeCell ref="U39:U41"/>
    <mergeCell ref="V39:V41"/>
    <mergeCell ref="V36:V37"/>
    <mergeCell ref="W36:W37"/>
    <mergeCell ref="X36:X37"/>
    <mergeCell ref="Y36:Y37"/>
    <mergeCell ref="P36:P37"/>
    <mergeCell ref="Q36:Q37"/>
    <mergeCell ref="R36:R37"/>
    <mergeCell ref="S36:S37"/>
    <mergeCell ref="T36:T37"/>
    <mergeCell ref="G54:G66"/>
    <mergeCell ref="H54:H66"/>
    <mergeCell ref="I54:I66"/>
    <mergeCell ref="J54:J66"/>
    <mergeCell ref="K54:K66"/>
    <mergeCell ref="L54:L66"/>
    <mergeCell ref="E67:E70"/>
    <mergeCell ref="F67:F70"/>
    <mergeCell ref="G68:G69"/>
    <mergeCell ref="H68:H69"/>
    <mergeCell ref="I68:I69"/>
    <mergeCell ref="N68:N69"/>
    <mergeCell ref="M54:M66"/>
    <mergeCell ref="N58:N60"/>
    <mergeCell ref="O58:O60"/>
    <mergeCell ref="N63:N64"/>
    <mergeCell ref="O63:O64"/>
    <mergeCell ref="N65:N66"/>
    <mergeCell ref="O65:O66"/>
    <mergeCell ref="AA68:AA69"/>
    <mergeCell ref="U68:U69"/>
    <mergeCell ref="V68:V69"/>
    <mergeCell ref="W68:W69"/>
    <mergeCell ref="G46:G53"/>
    <mergeCell ref="H46:H53"/>
    <mergeCell ref="I46:I53"/>
    <mergeCell ref="N46:N50"/>
    <mergeCell ref="O46:O50"/>
    <mergeCell ref="J47:J53"/>
    <mergeCell ref="K47:K53"/>
    <mergeCell ref="L47:L53"/>
    <mergeCell ref="M47:M53"/>
    <mergeCell ref="G42:G45"/>
    <mergeCell ref="H42:H45"/>
    <mergeCell ref="I42:I45"/>
    <mergeCell ref="J43:J45"/>
    <mergeCell ref="K43:K45"/>
    <mergeCell ref="Q39:Q41"/>
    <mergeCell ref="R39:R41"/>
    <mergeCell ref="S39:S41"/>
    <mergeCell ref="T39:T41"/>
    <mergeCell ref="L43:L45"/>
    <mergeCell ref="M43:M45"/>
    <mergeCell ref="N44:N45"/>
    <mergeCell ref="O44:O45"/>
    <mergeCell ref="G39:G41"/>
    <mergeCell ref="H39:H41"/>
    <mergeCell ref="I39:I41"/>
    <mergeCell ref="N39:N41"/>
    <mergeCell ref="O39:O41"/>
    <mergeCell ref="P39:P41"/>
    <mergeCell ref="X39:X41"/>
    <mergeCell ref="Y39:Y41"/>
    <mergeCell ref="G34:G38"/>
    <mergeCell ref="H34:H38"/>
    <mergeCell ref="I34:I38"/>
    <mergeCell ref="N34:N37"/>
    <mergeCell ref="O34:O37"/>
    <mergeCell ref="J36:J37"/>
    <mergeCell ref="K36:K37"/>
    <mergeCell ref="L36:L37"/>
    <mergeCell ref="M36:M37"/>
    <mergeCell ref="I31:I33"/>
    <mergeCell ref="J31:J33"/>
    <mergeCell ref="K31:K33"/>
    <mergeCell ref="L31:L33"/>
    <mergeCell ref="M31:M33"/>
    <mergeCell ref="N32:N33"/>
    <mergeCell ref="O32:O33"/>
    <mergeCell ref="U36:U37"/>
    <mergeCell ref="W39:W41"/>
    <mergeCell ref="R16:R22"/>
    <mergeCell ref="S16:S22"/>
    <mergeCell ref="K24:K25"/>
    <mergeCell ref="L24:L25"/>
    <mergeCell ref="M24:M25"/>
    <mergeCell ref="G26:G30"/>
    <mergeCell ref="H26:H30"/>
    <mergeCell ref="I26:I30"/>
    <mergeCell ref="J26:J30"/>
    <mergeCell ref="K26:K30"/>
    <mergeCell ref="L26:L30"/>
    <mergeCell ref="M26:M30"/>
    <mergeCell ref="N26:N27"/>
    <mergeCell ref="O26:O27"/>
    <mergeCell ref="T16:T22"/>
    <mergeCell ref="AA13:AA15"/>
    <mergeCell ref="N14:N15"/>
    <mergeCell ref="O14:O15"/>
    <mergeCell ref="Z14:Z15"/>
    <mergeCell ref="E16:E22"/>
    <mergeCell ref="F16:F22"/>
    <mergeCell ref="G16:G17"/>
    <mergeCell ref="H16:H17"/>
    <mergeCell ref="I16:I17"/>
    <mergeCell ref="N16:N22"/>
    <mergeCell ref="AA16:AA22"/>
    <mergeCell ref="G18:G19"/>
    <mergeCell ref="H18:H19"/>
    <mergeCell ref="I18:I19"/>
    <mergeCell ref="G20:G22"/>
    <mergeCell ref="H20:H22"/>
    <mergeCell ref="I20:I22"/>
    <mergeCell ref="U16:U22"/>
    <mergeCell ref="V16:V22"/>
    <mergeCell ref="W16:W22"/>
    <mergeCell ref="X16:X22"/>
    <mergeCell ref="Y16:Y22"/>
    <mergeCell ref="Z16:Z22"/>
    <mergeCell ref="C9:C70"/>
    <mergeCell ref="D9:D70"/>
    <mergeCell ref="E9:E15"/>
    <mergeCell ref="F9:F15"/>
    <mergeCell ref="G10:G12"/>
    <mergeCell ref="H10:H12"/>
    <mergeCell ref="I10:I12"/>
    <mergeCell ref="N7:O7"/>
    <mergeCell ref="P7:Q7"/>
    <mergeCell ref="N10:N11"/>
    <mergeCell ref="O10:O11"/>
    <mergeCell ref="P10:P11"/>
    <mergeCell ref="Q10:Q11"/>
    <mergeCell ref="E23:E44"/>
    <mergeCell ref="F23:F44"/>
    <mergeCell ref="G24:G25"/>
    <mergeCell ref="H24:H25"/>
    <mergeCell ref="I24:I25"/>
    <mergeCell ref="J24:J25"/>
    <mergeCell ref="O16:O22"/>
    <mergeCell ref="P16:P22"/>
    <mergeCell ref="Q16:Q22"/>
    <mergeCell ref="G31:G33"/>
    <mergeCell ref="H31:H33"/>
    <mergeCell ref="Z10:Z11"/>
    <mergeCell ref="G13:G15"/>
    <mergeCell ref="H13:H15"/>
    <mergeCell ref="I13:I15"/>
    <mergeCell ref="J13:J14"/>
    <mergeCell ref="K13:K14"/>
    <mergeCell ref="L13:L14"/>
    <mergeCell ref="M13:M14"/>
    <mergeCell ref="T10:T11"/>
    <mergeCell ref="U10:U11"/>
    <mergeCell ref="V10:V11"/>
    <mergeCell ref="W10:W11"/>
    <mergeCell ref="X10:X11"/>
    <mergeCell ref="Y10:Y11"/>
    <mergeCell ref="R10:R11"/>
    <mergeCell ref="S10:S11"/>
    <mergeCell ref="C2:AA2"/>
    <mergeCell ref="C3:AA3"/>
    <mergeCell ref="C4:AA4"/>
    <mergeCell ref="C6:M6"/>
    <mergeCell ref="N6:AA6"/>
    <mergeCell ref="C7:C8"/>
    <mergeCell ref="D7:D8"/>
    <mergeCell ref="E7:F7"/>
    <mergeCell ref="G7:I7"/>
    <mergeCell ref="J7:M7"/>
    <mergeCell ref="Z7:Z8"/>
    <mergeCell ref="AA7:AA8"/>
    <mergeCell ref="R7:R8"/>
    <mergeCell ref="S7:S8"/>
    <mergeCell ref="T7:V7"/>
    <mergeCell ref="W7:Y7"/>
  </mergeCells>
  <conditionalFormatting sqref="V9:V10 Y10 Y42:Y68 V42:V68">
    <cfRule type="cellIs" dxfId="26" priority="10" stopIfTrue="1" operator="greaterThanOrEqual">
      <formula>80.01%</formula>
    </cfRule>
    <cfRule type="cellIs" dxfId="25" priority="11" stopIfTrue="1" operator="between">
      <formula>0.501</formula>
      <formula>0.8</formula>
    </cfRule>
    <cfRule type="cellIs" dxfId="24" priority="12" stopIfTrue="1" operator="lessThanOrEqual">
      <formula>0.5</formula>
    </cfRule>
  </conditionalFormatting>
  <conditionalFormatting sqref="Y9">
    <cfRule type="cellIs" dxfId="23" priority="7" stopIfTrue="1" operator="greaterThanOrEqual">
      <formula>80.01%</formula>
    </cfRule>
    <cfRule type="cellIs" dxfId="22" priority="8" stopIfTrue="1" operator="between">
      <formula>0.501</formula>
      <formula>0.8</formula>
    </cfRule>
    <cfRule type="cellIs" dxfId="21" priority="9" stopIfTrue="1" operator="lessThanOrEqual">
      <formula>0.5</formula>
    </cfRule>
  </conditionalFormatting>
  <conditionalFormatting sqref="V12:V16 V23:V36 V70 V38:V39">
    <cfRule type="cellIs" dxfId="20" priority="4" stopIfTrue="1" operator="greaterThanOrEqual">
      <formula>80.01%</formula>
    </cfRule>
    <cfRule type="cellIs" dxfId="19" priority="5" stopIfTrue="1" operator="between">
      <formula>0.501</formula>
      <formula>0.8</formula>
    </cfRule>
    <cfRule type="cellIs" dxfId="18" priority="6" stopIfTrue="1" operator="lessThanOrEqual">
      <formula>0.5</formula>
    </cfRule>
  </conditionalFormatting>
  <conditionalFormatting sqref="Y12:Y16 Y23:Y36 Y70 Y38:Y39">
    <cfRule type="cellIs" dxfId="17" priority="1" stopIfTrue="1" operator="greaterThanOrEqual">
      <formula>80.01%</formula>
    </cfRule>
    <cfRule type="cellIs" dxfId="16" priority="2" stopIfTrue="1" operator="between">
      <formula>0.501</formula>
      <formula>0.8</formula>
    </cfRule>
    <cfRule type="cellIs" dxfId="15"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3" manualBreakCount="3">
    <brk id="33" max="16383" man="1"/>
    <brk id="60" max="16383" man="1"/>
    <brk id="67" max="2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8"/>
  <sheetViews>
    <sheetView tabSelected="1" view="pageBreakPreview" topLeftCell="D1" zoomScale="40" zoomScaleNormal="70" zoomScaleSheetLayoutView="40" workbookViewId="0">
      <selection activeCell="M30" sqref="M30"/>
    </sheetView>
  </sheetViews>
  <sheetFormatPr baseColWidth="10" defaultRowHeight="22.5" x14ac:dyDescent="0.35"/>
  <cols>
    <col min="1" max="1" width="2.85546875" style="232" customWidth="1"/>
    <col min="2" max="2" width="2" style="232" customWidth="1"/>
    <col min="3" max="4" width="10.140625" style="232" customWidth="1"/>
    <col min="5" max="5" width="7" style="172" customWidth="1"/>
    <col min="6" max="6" width="11" style="242" customWidth="1"/>
    <col min="7" max="7" width="7.7109375" style="172" customWidth="1"/>
    <col min="8" max="8" width="47.140625" style="243" customWidth="1"/>
    <col min="9" max="9" width="54.42578125" style="243" customWidth="1"/>
    <col min="10" max="10" width="15" style="172" customWidth="1"/>
    <col min="11" max="11" width="55" style="172" customWidth="1"/>
    <col min="12" max="12" width="16.85546875" style="172" customWidth="1"/>
    <col min="13" max="13" width="54.5703125" style="172" customWidth="1"/>
    <col min="14" max="14" width="40.7109375" style="172" customWidth="1"/>
    <col min="15" max="15" width="28.7109375" style="172" customWidth="1"/>
    <col min="16" max="16" width="31.28515625" style="172" customWidth="1"/>
    <col min="17" max="17" width="23" style="172" customWidth="1"/>
    <col min="18" max="18" width="32.5703125" style="172" customWidth="1"/>
    <col min="19" max="19" width="32" style="172" customWidth="1"/>
    <col min="20" max="20" width="22.28515625" style="172" customWidth="1"/>
    <col min="21" max="21" width="2.5703125" style="172" customWidth="1"/>
    <col min="22" max="22" width="12.42578125" style="172" customWidth="1"/>
    <col min="23" max="23" width="23.7109375" style="172" customWidth="1"/>
    <col min="24" max="24" width="10.28515625" style="172" customWidth="1"/>
    <col min="25" max="25" width="8" style="172" customWidth="1"/>
    <col min="26" max="16384" width="11.42578125" style="172"/>
  </cols>
  <sheetData>
    <row r="1" spans="3:24" ht="7.5" customHeight="1" x14ac:dyDescent="0.35">
      <c r="E1" s="232"/>
      <c r="F1" s="233"/>
      <c r="G1" s="232"/>
      <c r="H1" s="234"/>
      <c r="I1" s="234"/>
      <c r="J1" s="232"/>
      <c r="K1" s="232"/>
      <c r="L1" s="232"/>
      <c r="M1" s="232"/>
      <c r="N1" s="232"/>
      <c r="O1" s="232"/>
      <c r="P1" s="232"/>
      <c r="Q1" s="232"/>
      <c r="R1" s="232"/>
      <c r="S1" s="232"/>
      <c r="T1" s="232"/>
      <c r="U1" s="232"/>
      <c r="V1" s="232"/>
      <c r="W1" s="232"/>
      <c r="X1" s="232"/>
    </row>
    <row r="2" spans="3:24" ht="42" customHeight="1" x14ac:dyDescent="0.25">
      <c r="C2" s="244" t="s">
        <v>0</v>
      </c>
      <c r="D2" s="244"/>
      <c r="E2" s="244"/>
      <c r="F2" s="244"/>
      <c r="G2" s="244"/>
      <c r="H2" s="244"/>
      <c r="I2" s="244"/>
      <c r="J2" s="244"/>
      <c r="K2" s="244"/>
      <c r="L2" s="244"/>
      <c r="M2" s="244"/>
      <c r="N2" s="244"/>
      <c r="O2" s="244"/>
      <c r="P2" s="244"/>
      <c r="Q2" s="244"/>
      <c r="R2" s="244"/>
      <c r="S2" s="244"/>
      <c r="T2" s="244"/>
      <c r="U2" s="7"/>
      <c r="V2" s="7"/>
      <c r="W2" s="7"/>
      <c r="X2" s="232"/>
    </row>
    <row r="3" spans="3:24" ht="27" customHeight="1" x14ac:dyDescent="0.25">
      <c r="C3" s="244" t="s">
        <v>384</v>
      </c>
      <c r="D3" s="244"/>
      <c r="E3" s="244"/>
      <c r="F3" s="244"/>
      <c r="G3" s="244"/>
      <c r="H3" s="244"/>
      <c r="I3" s="244"/>
      <c r="J3" s="244"/>
      <c r="K3" s="244"/>
      <c r="L3" s="244"/>
      <c r="M3" s="244"/>
      <c r="N3" s="244"/>
      <c r="O3" s="244"/>
      <c r="P3" s="244"/>
      <c r="Q3" s="244"/>
      <c r="R3" s="244"/>
      <c r="S3" s="244"/>
      <c r="T3" s="244"/>
      <c r="U3" s="7"/>
      <c r="V3" s="7"/>
      <c r="W3" s="7"/>
      <c r="X3" s="232"/>
    </row>
    <row r="4" spans="3:24" ht="36" customHeight="1" x14ac:dyDescent="0.25">
      <c r="C4" s="245" t="s">
        <v>472</v>
      </c>
      <c r="D4" s="245"/>
      <c r="E4" s="245"/>
      <c r="F4" s="245"/>
      <c r="G4" s="245"/>
      <c r="H4" s="245"/>
      <c r="I4" s="245"/>
      <c r="J4" s="245"/>
      <c r="K4" s="245"/>
      <c r="L4" s="245"/>
      <c r="M4" s="245"/>
      <c r="N4" s="245"/>
      <c r="O4" s="245"/>
      <c r="P4" s="245"/>
      <c r="Q4" s="245"/>
      <c r="R4" s="245"/>
      <c r="S4" s="245"/>
      <c r="T4" s="245"/>
      <c r="U4" s="200"/>
      <c r="V4" s="200"/>
      <c r="W4" s="200"/>
      <c r="X4" s="232"/>
    </row>
    <row r="5" spans="3:24" ht="19.5" customHeight="1" thickBot="1" x14ac:dyDescent="0.3">
      <c r="E5" s="8"/>
      <c r="F5" s="8"/>
      <c r="G5" s="8"/>
      <c r="H5" s="8"/>
      <c r="I5" s="8"/>
      <c r="J5" s="8"/>
      <c r="K5" s="8"/>
      <c r="L5" s="8"/>
      <c r="M5" s="8"/>
      <c r="N5" s="8"/>
      <c r="O5" s="8"/>
      <c r="P5" s="8"/>
      <c r="Q5" s="8"/>
      <c r="R5" s="8"/>
      <c r="S5" s="8"/>
      <c r="T5" s="8"/>
      <c r="U5" s="8"/>
      <c r="V5" s="8"/>
      <c r="W5" s="8"/>
      <c r="X5" s="232"/>
    </row>
    <row r="6" spans="3:24" ht="42.75" customHeight="1" thickBot="1" x14ac:dyDescent="0.3">
      <c r="C6" s="249" t="s">
        <v>1</v>
      </c>
      <c r="D6" s="250"/>
      <c r="E6" s="250"/>
      <c r="F6" s="250"/>
      <c r="G6" s="250"/>
      <c r="H6" s="250"/>
      <c r="I6" s="250"/>
      <c r="J6" s="249" t="s">
        <v>2</v>
      </c>
      <c r="K6" s="250"/>
      <c r="L6" s="250"/>
      <c r="M6" s="250"/>
      <c r="N6" s="250"/>
      <c r="O6" s="250"/>
      <c r="P6" s="250"/>
      <c r="Q6" s="250"/>
      <c r="R6" s="250"/>
      <c r="S6" s="250"/>
      <c r="T6" s="251"/>
      <c r="U6" s="200"/>
      <c r="V6" s="200"/>
      <c r="W6" s="200"/>
      <c r="X6" s="232"/>
    </row>
    <row r="7" spans="3:24" ht="56.25" customHeight="1" thickBot="1" x14ac:dyDescent="0.3">
      <c r="C7" s="252" t="s">
        <v>3</v>
      </c>
      <c r="D7" s="252" t="s">
        <v>4</v>
      </c>
      <c r="E7" s="254" t="s">
        <v>5</v>
      </c>
      <c r="F7" s="255"/>
      <c r="G7" s="254" t="s">
        <v>10</v>
      </c>
      <c r="H7" s="396" t="s">
        <v>12</v>
      </c>
      <c r="I7" s="396" t="s">
        <v>14</v>
      </c>
      <c r="J7" s="261" t="s">
        <v>17</v>
      </c>
      <c r="K7" s="259" t="s">
        <v>12</v>
      </c>
      <c r="L7" s="261" t="s">
        <v>17</v>
      </c>
      <c r="M7" s="270" t="s">
        <v>14</v>
      </c>
      <c r="N7" s="261" t="s">
        <v>8</v>
      </c>
      <c r="O7" s="265" t="s">
        <v>474</v>
      </c>
      <c r="P7" s="266"/>
      <c r="Q7" s="267"/>
      <c r="R7" s="268" t="s">
        <v>475</v>
      </c>
      <c r="S7" s="269"/>
      <c r="T7" s="270"/>
      <c r="U7" s="10"/>
      <c r="V7" s="10"/>
      <c r="W7" s="10"/>
      <c r="X7" s="232"/>
    </row>
    <row r="8" spans="3:24" ht="94.5" customHeight="1" thickBot="1" x14ac:dyDescent="0.3">
      <c r="C8" s="253"/>
      <c r="D8" s="253"/>
      <c r="E8" s="66" t="s">
        <v>10</v>
      </c>
      <c r="F8" s="66" t="s">
        <v>11</v>
      </c>
      <c r="G8" s="398"/>
      <c r="H8" s="397"/>
      <c r="I8" s="397"/>
      <c r="J8" s="394"/>
      <c r="K8" s="260"/>
      <c r="L8" s="394"/>
      <c r="M8" s="395"/>
      <c r="N8" s="262"/>
      <c r="O8" s="68" t="s">
        <v>476</v>
      </c>
      <c r="P8" s="68" t="s">
        <v>477</v>
      </c>
      <c r="Q8" s="68" t="s">
        <v>265</v>
      </c>
      <c r="R8" s="68" t="s">
        <v>478</v>
      </c>
      <c r="S8" s="68" t="s">
        <v>479</v>
      </c>
      <c r="T8" s="68" t="s">
        <v>265</v>
      </c>
      <c r="U8" s="10"/>
      <c r="V8" s="10"/>
      <c r="W8" s="10"/>
      <c r="X8" s="232"/>
    </row>
    <row r="9" spans="3:24" ht="125.25" customHeight="1" thickBot="1" x14ac:dyDescent="0.3">
      <c r="C9" s="301" t="s">
        <v>18</v>
      </c>
      <c r="D9" s="301" t="s">
        <v>19</v>
      </c>
      <c r="E9" s="399">
        <v>1</v>
      </c>
      <c r="F9" s="401" t="s">
        <v>20</v>
      </c>
      <c r="G9" s="185">
        <v>101</v>
      </c>
      <c r="H9" s="188" t="s">
        <v>21</v>
      </c>
      <c r="I9" s="188" t="s">
        <v>522</v>
      </c>
      <c r="J9" s="191" t="s">
        <v>25</v>
      </c>
      <c r="K9" s="195" t="s">
        <v>26</v>
      </c>
      <c r="L9" s="44" t="s">
        <v>27</v>
      </c>
      <c r="M9" s="33" t="s">
        <v>299</v>
      </c>
      <c r="N9" s="34" t="s">
        <v>300</v>
      </c>
      <c r="O9" s="206">
        <v>448904</v>
      </c>
      <c r="P9" s="207">
        <v>-502995</v>
      </c>
      <c r="Q9" s="50">
        <f>+P9/O9</f>
        <v>-1.120495696184485</v>
      </c>
      <c r="R9" s="208">
        <v>1119555</v>
      </c>
      <c r="S9" s="209">
        <v>-379712</v>
      </c>
      <c r="T9" s="50">
        <f>+S9/R9</f>
        <v>-0.33916332828668533</v>
      </c>
      <c r="U9" s="11"/>
      <c r="V9" s="12"/>
      <c r="W9" s="92"/>
      <c r="X9" s="232"/>
    </row>
    <row r="10" spans="3:24" ht="69.75" customHeight="1" thickBot="1" x14ac:dyDescent="0.3">
      <c r="C10" s="302"/>
      <c r="D10" s="302"/>
      <c r="E10" s="400"/>
      <c r="F10" s="402"/>
      <c r="G10" s="273">
        <v>102</v>
      </c>
      <c r="H10" s="276" t="s">
        <v>29</v>
      </c>
      <c r="I10" s="188" t="s">
        <v>31</v>
      </c>
      <c r="J10" s="288" t="s">
        <v>32</v>
      </c>
      <c r="K10" s="308" t="s">
        <v>33</v>
      </c>
      <c r="L10" s="288" t="s">
        <v>34</v>
      </c>
      <c r="M10" s="308" t="s">
        <v>323</v>
      </c>
      <c r="N10" s="296" t="s">
        <v>298</v>
      </c>
      <c r="O10" s="390">
        <v>65000</v>
      </c>
      <c r="P10" s="390">
        <v>65499</v>
      </c>
      <c r="Q10" s="292">
        <f t="shared" ref="Q10:Q62" si="0">+P10/O10</f>
        <v>1.0076769230769231</v>
      </c>
      <c r="R10" s="390">
        <v>170000</v>
      </c>
      <c r="S10" s="392">
        <v>175776</v>
      </c>
      <c r="T10" s="292">
        <f t="shared" ref="T10:T64" si="1">+S10/R10</f>
        <v>1.0339764705882353</v>
      </c>
      <c r="U10" s="11"/>
      <c r="V10" s="12"/>
      <c r="W10" s="13"/>
      <c r="X10" s="232"/>
    </row>
    <row r="11" spans="3:24" ht="83.25" customHeight="1" thickBot="1" x14ac:dyDescent="0.3">
      <c r="C11" s="302"/>
      <c r="D11" s="302"/>
      <c r="E11" s="400"/>
      <c r="F11" s="402"/>
      <c r="G11" s="274"/>
      <c r="H11" s="277"/>
      <c r="I11" s="47" t="s">
        <v>36</v>
      </c>
      <c r="J11" s="289"/>
      <c r="K11" s="309"/>
      <c r="L11" s="289"/>
      <c r="M11" s="309"/>
      <c r="N11" s="297"/>
      <c r="O11" s="391"/>
      <c r="P11" s="391"/>
      <c r="Q11" s="293"/>
      <c r="R11" s="391"/>
      <c r="S11" s="393"/>
      <c r="T11" s="293"/>
      <c r="U11" s="11"/>
      <c r="V11" s="12"/>
      <c r="W11" s="12"/>
      <c r="X11" s="232"/>
    </row>
    <row r="12" spans="3:24" ht="102" customHeight="1" thickBot="1" x14ac:dyDescent="0.3">
      <c r="C12" s="302"/>
      <c r="D12" s="302"/>
      <c r="E12" s="400"/>
      <c r="F12" s="402"/>
      <c r="G12" s="275"/>
      <c r="H12" s="278"/>
      <c r="I12" s="47" t="s">
        <v>521</v>
      </c>
      <c r="J12" s="44" t="s">
        <v>39</v>
      </c>
      <c r="K12" s="33" t="s">
        <v>301</v>
      </c>
      <c r="L12" s="44" t="s">
        <v>40</v>
      </c>
      <c r="M12" s="33" t="s">
        <v>301</v>
      </c>
      <c r="N12" s="34" t="s">
        <v>41</v>
      </c>
      <c r="O12" s="210">
        <v>1</v>
      </c>
      <c r="P12" s="210">
        <v>0</v>
      </c>
      <c r="Q12" s="50">
        <f t="shared" si="0"/>
        <v>0</v>
      </c>
      <c r="R12" s="210">
        <v>4</v>
      </c>
      <c r="S12" s="210">
        <v>2</v>
      </c>
      <c r="T12" s="50">
        <f t="shared" si="1"/>
        <v>0.5</v>
      </c>
      <c r="U12" s="11"/>
      <c r="V12" s="12"/>
      <c r="W12" s="12"/>
      <c r="X12" s="232"/>
    </row>
    <row r="13" spans="3:24" ht="108.75" customHeight="1" thickBot="1" x14ac:dyDescent="0.3">
      <c r="C13" s="302"/>
      <c r="D13" s="302"/>
      <c r="E13" s="384">
        <v>2</v>
      </c>
      <c r="F13" s="387" t="s">
        <v>52</v>
      </c>
      <c r="G13" s="273">
        <v>201</v>
      </c>
      <c r="H13" s="276" t="s">
        <v>281</v>
      </c>
      <c r="I13" s="47" t="s">
        <v>54</v>
      </c>
      <c r="J13" s="331" t="s">
        <v>98</v>
      </c>
      <c r="K13" s="308" t="s">
        <v>56</v>
      </c>
      <c r="L13" s="288" t="s">
        <v>99</v>
      </c>
      <c r="M13" s="308" t="s">
        <v>483</v>
      </c>
      <c r="N13" s="296" t="s">
        <v>58</v>
      </c>
      <c r="O13" s="378">
        <v>1</v>
      </c>
      <c r="P13" s="378">
        <v>0</v>
      </c>
      <c r="Q13" s="292">
        <f t="shared" si="0"/>
        <v>0</v>
      </c>
      <c r="R13" s="378">
        <v>2</v>
      </c>
      <c r="S13" s="378">
        <v>1</v>
      </c>
      <c r="T13" s="292">
        <f t="shared" si="1"/>
        <v>0.5</v>
      </c>
      <c r="U13" s="11"/>
      <c r="V13" s="12"/>
      <c r="W13" s="13"/>
      <c r="X13" s="232"/>
    </row>
    <row r="14" spans="3:24" ht="66" customHeight="1" thickBot="1" x14ac:dyDescent="0.3">
      <c r="C14" s="302"/>
      <c r="D14" s="302"/>
      <c r="E14" s="385"/>
      <c r="F14" s="388"/>
      <c r="G14" s="275"/>
      <c r="H14" s="278"/>
      <c r="I14" s="188" t="s">
        <v>520</v>
      </c>
      <c r="J14" s="332"/>
      <c r="K14" s="314"/>
      <c r="L14" s="315"/>
      <c r="M14" s="314"/>
      <c r="N14" s="342"/>
      <c r="O14" s="379"/>
      <c r="P14" s="379"/>
      <c r="Q14" s="338"/>
      <c r="R14" s="379"/>
      <c r="S14" s="379"/>
      <c r="T14" s="338"/>
      <c r="U14" s="11"/>
      <c r="V14" s="12"/>
      <c r="W14" s="13"/>
      <c r="X14" s="232"/>
    </row>
    <row r="15" spans="3:24" ht="54.75" customHeight="1" thickBot="1" x14ac:dyDescent="0.3">
      <c r="C15" s="302"/>
      <c r="D15" s="302"/>
      <c r="E15" s="385"/>
      <c r="F15" s="388"/>
      <c r="G15" s="273">
        <v>202</v>
      </c>
      <c r="H15" s="276" t="s">
        <v>279</v>
      </c>
      <c r="I15" s="188" t="s">
        <v>62</v>
      </c>
      <c r="J15" s="332"/>
      <c r="K15" s="314"/>
      <c r="L15" s="315"/>
      <c r="M15" s="314"/>
      <c r="N15" s="342"/>
      <c r="O15" s="379"/>
      <c r="P15" s="379"/>
      <c r="Q15" s="338"/>
      <c r="R15" s="379"/>
      <c r="S15" s="379"/>
      <c r="T15" s="338"/>
      <c r="U15" s="11"/>
      <c r="V15" s="12"/>
      <c r="W15" s="13"/>
      <c r="X15" s="232"/>
    </row>
    <row r="16" spans="3:24" ht="88.5" customHeight="1" thickBot="1" x14ac:dyDescent="0.3">
      <c r="C16" s="302"/>
      <c r="D16" s="302"/>
      <c r="E16" s="385"/>
      <c r="F16" s="388"/>
      <c r="G16" s="275"/>
      <c r="H16" s="278"/>
      <c r="I16" s="47" t="s">
        <v>64</v>
      </c>
      <c r="J16" s="332"/>
      <c r="K16" s="314"/>
      <c r="L16" s="315"/>
      <c r="M16" s="314"/>
      <c r="N16" s="342"/>
      <c r="O16" s="379"/>
      <c r="P16" s="379"/>
      <c r="Q16" s="338"/>
      <c r="R16" s="379"/>
      <c r="S16" s="379"/>
      <c r="T16" s="338"/>
      <c r="U16" s="11"/>
      <c r="V16" s="12"/>
      <c r="W16" s="17"/>
      <c r="X16" s="232"/>
    </row>
    <row r="17" spans="2:26" ht="66" customHeight="1" thickBot="1" x14ac:dyDescent="0.3">
      <c r="C17" s="302"/>
      <c r="D17" s="302"/>
      <c r="E17" s="385"/>
      <c r="F17" s="388"/>
      <c r="G17" s="273">
        <v>203</v>
      </c>
      <c r="H17" s="276" t="s">
        <v>280</v>
      </c>
      <c r="I17" s="47" t="s">
        <v>519</v>
      </c>
      <c r="J17" s="332"/>
      <c r="K17" s="314"/>
      <c r="L17" s="315"/>
      <c r="M17" s="314"/>
      <c r="N17" s="342"/>
      <c r="O17" s="379"/>
      <c r="P17" s="379"/>
      <c r="Q17" s="338"/>
      <c r="R17" s="379"/>
      <c r="S17" s="379"/>
      <c r="T17" s="338"/>
      <c r="U17" s="11"/>
      <c r="V17" s="12"/>
      <c r="W17" s="12"/>
      <c r="X17" s="232"/>
    </row>
    <row r="18" spans="2:26" ht="82.5" customHeight="1" thickBot="1" x14ac:dyDescent="0.3">
      <c r="C18" s="302"/>
      <c r="D18" s="302"/>
      <c r="E18" s="385"/>
      <c r="F18" s="388"/>
      <c r="G18" s="274"/>
      <c r="H18" s="277"/>
      <c r="I18" s="47" t="s">
        <v>68</v>
      </c>
      <c r="J18" s="332"/>
      <c r="K18" s="314"/>
      <c r="L18" s="315"/>
      <c r="M18" s="314"/>
      <c r="N18" s="342"/>
      <c r="O18" s="379"/>
      <c r="P18" s="379"/>
      <c r="Q18" s="338"/>
      <c r="R18" s="379"/>
      <c r="S18" s="379"/>
      <c r="T18" s="338"/>
      <c r="U18" s="11"/>
      <c r="V18" s="11"/>
      <c r="W18" s="12"/>
      <c r="X18" s="232"/>
    </row>
    <row r="19" spans="2:26" ht="89.25" customHeight="1" thickBot="1" x14ac:dyDescent="0.3">
      <c r="C19" s="302"/>
      <c r="D19" s="302"/>
      <c r="E19" s="386"/>
      <c r="F19" s="389"/>
      <c r="G19" s="275"/>
      <c r="H19" s="278"/>
      <c r="I19" s="48" t="s">
        <v>518</v>
      </c>
      <c r="J19" s="333"/>
      <c r="K19" s="309"/>
      <c r="L19" s="289"/>
      <c r="M19" s="309"/>
      <c r="N19" s="297"/>
      <c r="O19" s="380"/>
      <c r="P19" s="380"/>
      <c r="Q19" s="293"/>
      <c r="R19" s="380"/>
      <c r="S19" s="380"/>
      <c r="T19" s="293"/>
      <c r="U19" s="11"/>
      <c r="V19" s="11"/>
      <c r="W19" s="11"/>
      <c r="X19" s="232"/>
    </row>
    <row r="20" spans="2:26" ht="130.5" customHeight="1" thickBot="1" x14ac:dyDescent="0.3">
      <c r="C20" s="302"/>
      <c r="D20" s="302"/>
      <c r="E20" s="384">
        <v>3</v>
      </c>
      <c r="F20" s="387" t="s">
        <v>70</v>
      </c>
      <c r="G20" s="186">
        <v>301</v>
      </c>
      <c r="H20" s="190" t="s">
        <v>71</v>
      </c>
      <c r="I20" s="190" t="s">
        <v>286</v>
      </c>
      <c r="J20" s="45" t="s">
        <v>73</v>
      </c>
      <c r="K20" s="33" t="s">
        <v>74</v>
      </c>
      <c r="L20" s="44" t="s">
        <v>75</v>
      </c>
      <c r="M20" s="33" t="s">
        <v>349</v>
      </c>
      <c r="N20" s="34" t="s">
        <v>76</v>
      </c>
      <c r="O20" s="211">
        <v>0.7</v>
      </c>
      <c r="P20" s="211">
        <v>0</v>
      </c>
      <c r="Q20" s="171">
        <f t="shared" si="0"/>
        <v>0</v>
      </c>
      <c r="R20" s="212">
        <v>1</v>
      </c>
      <c r="S20" s="212">
        <v>0.3</v>
      </c>
      <c r="T20" s="171">
        <f t="shared" si="1"/>
        <v>0.3</v>
      </c>
      <c r="U20" s="11"/>
      <c r="V20" s="11"/>
      <c r="W20" s="12"/>
      <c r="X20" s="235"/>
    </row>
    <row r="21" spans="2:26" ht="122.25" customHeight="1" thickBot="1" x14ac:dyDescent="0.3">
      <c r="B21" s="236"/>
      <c r="C21" s="302"/>
      <c r="D21" s="302"/>
      <c r="E21" s="385"/>
      <c r="F21" s="388"/>
      <c r="G21" s="273">
        <v>302</v>
      </c>
      <c r="H21" s="276" t="s">
        <v>78</v>
      </c>
      <c r="I21" s="343" t="s">
        <v>80</v>
      </c>
      <c r="J21" s="201" t="s">
        <v>462</v>
      </c>
      <c r="K21" s="199" t="s">
        <v>83</v>
      </c>
      <c r="L21" s="201" t="s">
        <v>461</v>
      </c>
      <c r="M21" s="199" t="s">
        <v>85</v>
      </c>
      <c r="N21" s="198" t="s">
        <v>350</v>
      </c>
      <c r="O21" s="213">
        <v>0.3</v>
      </c>
      <c r="P21" s="213">
        <v>0.216</v>
      </c>
      <c r="Q21" s="187">
        <f t="shared" si="0"/>
        <v>0.72</v>
      </c>
      <c r="R21" s="214">
        <v>1</v>
      </c>
      <c r="S21" s="214">
        <v>0.90599999999999992</v>
      </c>
      <c r="T21" s="187">
        <f t="shared" si="1"/>
        <v>0.90599999999999992</v>
      </c>
      <c r="U21" s="11"/>
      <c r="V21" s="11"/>
      <c r="W21" s="11"/>
      <c r="X21" s="232"/>
    </row>
    <row r="22" spans="2:26" ht="160.5" customHeight="1" thickBot="1" x14ac:dyDescent="0.3">
      <c r="B22" s="236"/>
      <c r="C22" s="302"/>
      <c r="D22" s="302"/>
      <c r="E22" s="385"/>
      <c r="F22" s="388"/>
      <c r="G22" s="275"/>
      <c r="H22" s="278"/>
      <c r="I22" s="344"/>
      <c r="J22" s="45" t="s">
        <v>463</v>
      </c>
      <c r="K22" s="38" t="s">
        <v>88</v>
      </c>
      <c r="L22" s="45" t="s">
        <v>464</v>
      </c>
      <c r="M22" s="38" t="s">
        <v>351</v>
      </c>
      <c r="N22" s="35" t="s">
        <v>86</v>
      </c>
      <c r="O22" s="215">
        <v>0.6</v>
      </c>
      <c r="P22" s="216">
        <v>0</v>
      </c>
      <c r="Q22" s="50">
        <f t="shared" si="0"/>
        <v>0</v>
      </c>
      <c r="R22" s="216">
        <v>1.002</v>
      </c>
      <c r="S22" s="216">
        <v>0</v>
      </c>
      <c r="T22" s="50">
        <f t="shared" si="1"/>
        <v>0</v>
      </c>
      <c r="U22" s="11"/>
      <c r="V22" s="11"/>
      <c r="W22" s="11"/>
      <c r="X22" s="232"/>
    </row>
    <row r="23" spans="2:26" ht="125.25" customHeight="1" thickBot="1" x14ac:dyDescent="0.3">
      <c r="B23" s="236"/>
      <c r="C23" s="302"/>
      <c r="D23" s="302"/>
      <c r="E23" s="385"/>
      <c r="F23" s="388"/>
      <c r="G23" s="273">
        <v>303</v>
      </c>
      <c r="H23" s="276" t="s">
        <v>90</v>
      </c>
      <c r="I23" s="276" t="s">
        <v>287</v>
      </c>
      <c r="J23" s="331" t="s">
        <v>102</v>
      </c>
      <c r="K23" s="308" t="s">
        <v>93</v>
      </c>
      <c r="L23" s="44" t="s">
        <v>103</v>
      </c>
      <c r="M23" s="33" t="s">
        <v>355</v>
      </c>
      <c r="N23" s="34" t="s">
        <v>95</v>
      </c>
      <c r="O23" s="211">
        <v>0.7</v>
      </c>
      <c r="P23" s="217">
        <v>0.48259999999999997</v>
      </c>
      <c r="Q23" s="50">
        <f t="shared" si="0"/>
        <v>0.68942857142857139</v>
      </c>
      <c r="R23" s="211">
        <v>0.7</v>
      </c>
      <c r="S23" s="217">
        <v>0.50170000000000003</v>
      </c>
      <c r="T23" s="50">
        <f t="shared" si="1"/>
        <v>0.71671428571428586</v>
      </c>
      <c r="U23" s="11"/>
      <c r="V23" s="11"/>
      <c r="W23" s="237"/>
      <c r="X23" s="232"/>
    </row>
    <row r="24" spans="2:26" ht="128.25" customHeight="1" thickBot="1" x14ac:dyDescent="0.3">
      <c r="B24" s="236"/>
      <c r="C24" s="302"/>
      <c r="D24" s="302"/>
      <c r="E24" s="385"/>
      <c r="F24" s="388"/>
      <c r="G24" s="274"/>
      <c r="H24" s="277"/>
      <c r="I24" s="277"/>
      <c r="J24" s="333"/>
      <c r="K24" s="309"/>
      <c r="L24" s="44" t="s">
        <v>443</v>
      </c>
      <c r="M24" s="33" t="s">
        <v>484</v>
      </c>
      <c r="N24" s="34" t="s">
        <v>95</v>
      </c>
      <c r="O24" s="211">
        <v>1</v>
      </c>
      <c r="P24" s="211">
        <v>1</v>
      </c>
      <c r="Q24" s="106">
        <f t="shared" si="0"/>
        <v>1</v>
      </c>
      <c r="R24" s="211">
        <v>1</v>
      </c>
      <c r="S24" s="217">
        <v>0.90780000000000005</v>
      </c>
      <c r="T24" s="50">
        <f t="shared" si="1"/>
        <v>0.90780000000000005</v>
      </c>
      <c r="U24" s="11"/>
      <c r="V24" s="11"/>
      <c r="W24" s="12"/>
      <c r="X24" s="238"/>
      <c r="Z24" s="239"/>
    </row>
    <row r="25" spans="2:26" ht="111.75" customHeight="1" thickBot="1" x14ac:dyDescent="0.3">
      <c r="B25" s="236"/>
      <c r="C25" s="302"/>
      <c r="D25" s="302"/>
      <c r="E25" s="385"/>
      <c r="F25" s="388"/>
      <c r="G25" s="274"/>
      <c r="H25" s="277"/>
      <c r="I25" s="277"/>
      <c r="J25" s="64" t="s">
        <v>146</v>
      </c>
      <c r="K25" s="33" t="s">
        <v>516</v>
      </c>
      <c r="L25" s="44" t="s">
        <v>148</v>
      </c>
      <c r="M25" s="33" t="s">
        <v>482</v>
      </c>
      <c r="N25" s="34" t="s">
        <v>101</v>
      </c>
      <c r="O25" s="210">
        <v>1</v>
      </c>
      <c r="P25" s="210">
        <v>1</v>
      </c>
      <c r="Q25" s="89">
        <f t="shared" si="0"/>
        <v>1</v>
      </c>
      <c r="R25" s="210">
        <v>4</v>
      </c>
      <c r="S25" s="210">
        <v>2</v>
      </c>
      <c r="T25" s="50">
        <f t="shared" si="1"/>
        <v>0.5</v>
      </c>
      <c r="U25" s="11"/>
      <c r="V25" s="11"/>
      <c r="W25" s="12"/>
      <c r="X25" s="232"/>
    </row>
    <row r="26" spans="2:26" ht="129" customHeight="1" thickBot="1" x14ac:dyDescent="0.3">
      <c r="B26" s="236"/>
      <c r="C26" s="302"/>
      <c r="D26" s="302"/>
      <c r="E26" s="385"/>
      <c r="F26" s="388"/>
      <c r="G26" s="274"/>
      <c r="H26" s="277"/>
      <c r="I26" s="277"/>
      <c r="J26" s="197" t="s">
        <v>125</v>
      </c>
      <c r="K26" s="194" t="s">
        <v>517</v>
      </c>
      <c r="L26" s="44" t="s">
        <v>127</v>
      </c>
      <c r="M26" s="33" t="s">
        <v>104</v>
      </c>
      <c r="N26" s="34" t="s">
        <v>105</v>
      </c>
      <c r="O26" s="210">
        <v>16</v>
      </c>
      <c r="P26" s="210">
        <v>21</v>
      </c>
      <c r="Q26" s="89">
        <v>1</v>
      </c>
      <c r="R26" s="210">
        <v>48</v>
      </c>
      <c r="S26" s="210">
        <v>49</v>
      </c>
      <c r="T26" s="50">
        <f t="shared" si="1"/>
        <v>1.0208333333333333</v>
      </c>
      <c r="U26" s="11"/>
      <c r="V26" s="11"/>
      <c r="W26" s="12"/>
      <c r="X26" s="232"/>
    </row>
    <row r="27" spans="2:26" ht="109.5" customHeight="1" thickBot="1" x14ac:dyDescent="0.3">
      <c r="C27" s="302"/>
      <c r="D27" s="302"/>
      <c r="E27" s="385"/>
      <c r="F27" s="388"/>
      <c r="G27" s="273">
        <v>304</v>
      </c>
      <c r="H27" s="276" t="s">
        <v>110</v>
      </c>
      <c r="I27" s="276" t="s">
        <v>288</v>
      </c>
      <c r="J27" s="45" t="s">
        <v>112</v>
      </c>
      <c r="K27" s="33" t="s">
        <v>113</v>
      </c>
      <c r="L27" s="192" t="s">
        <v>114</v>
      </c>
      <c r="M27" s="194" t="s">
        <v>115</v>
      </c>
      <c r="N27" s="196" t="s">
        <v>116</v>
      </c>
      <c r="O27" s="218">
        <v>1</v>
      </c>
      <c r="P27" s="218">
        <v>1</v>
      </c>
      <c r="Q27" s="231">
        <f t="shared" si="0"/>
        <v>1</v>
      </c>
      <c r="R27" s="218">
        <v>1</v>
      </c>
      <c r="S27" s="218">
        <v>1</v>
      </c>
      <c r="T27" s="231">
        <f t="shared" si="1"/>
        <v>1</v>
      </c>
      <c r="U27" s="11"/>
      <c r="V27" s="11"/>
      <c r="W27" s="12"/>
      <c r="X27" s="232"/>
    </row>
    <row r="28" spans="2:26" ht="99" customHeight="1" thickBot="1" x14ac:dyDescent="0.3">
      <c r="C28" s="302"/>
      <c r="D28" s="302"/>
      <c r="E28" s="385"/>
      <c r="F28" s="388"/>
      <c r="G28" s="274"/>
      <c r="H28" s="277"/>
      <c r="I28" s="277"/>
      <c r="J28" s="331" t="s">
        <v>117</v>
      </c>
      <c r="K28" s="308" t="s">
        <v>118</v>
      </c>
      <c r="L28" s="44" t="s">
        <v>119</v>
      </c>
      <c r="M28" s="33" t="s">
        <v>339</v>
      </c>
      <c r="N28" s="34" t="s">
        <v>340</v>
      </c>
      <c r="O28" s="210">
        <v>0</v>
      </c>
      <c r="P28" s="210">
        <v>1</v>
      </c>
      <c r="Q28" s="89">
        <v>1</v>
      </c>
      <c r="R28" s="210">
        <v>1</v>
      </c>
      <c r="S28" s="210">
        <v>1</v>
      </c>
      <c r="T28" s="89">
        <f t="shared" si="1"/>
        <v>1</v>
      </c>
      <c r="U28" s="11"/>
      <c r="V28" s="11"/>
      <c r="W28" s="12"/>
      <c r="X28" s="232"/>
    </row>
    <row r="29" spans="2:26" ht="126.75" customHeight="1" thickBot="1" x14ac:dyDescent="0.3">
      <c r="C29" s="302"/>
      <c r="D29" s="302"/>
      <c r="E29" s="385"/>
      <c r="F29" s="388"/>
      <c r="G29" s="275"/>
      <c r="H29" s="278"/>
      <c r="I29" s="278"/>
      <c r="J29" s="333"/>
      <c r="K29" s="309"/>
      <c r="L29" s="44" t="s">
        <v>120</v>
      </c>
      <c r="M29" s="33" t="s">
        <v>121</v>
      </c>
      <c r="N29" s="34" t="s">
        <v>341</v>
      </c>
      <c r="O29" s="210">
        <v>0</v>
      </c>
      <c r="P29" s="210">
        <v>1</v>
      </c>
      <c r="Q29" s="203">
        <v>1</v>
      </c>
      <c r="R29" s="210">
        <v>2</v>
      </c>
      <c r="S29" s="210">
        <v>6</v>
      </c>
      <c r="T29" s="203">
        <v>1</v>
      </c>
      <c r="U29" s="11"/>
      <c r="V29" s="11"/>
      <c r="W29" s="12"/>
      <c r="X29" s="232"/>
    </row>
    <row r="30" spans="2:26" ht="121.5" customHeight="1" thickBot="1" x14ac:dyDescent="0.3">
      <c r="C30" s="302"/>
      <c r="D30" s="302"/>
      <c r="E30" s="385"/>
      <c r="F30" s="388"/>
      <c r="G30" s="274">
        <v>305</v>
      </c>
      <c r="H30" s="277" t="s">
        <v>122</v>
      </c>
      <c r="I30" s="189" t="s">
        <v>124</v>
      </c>
      <c r="J30" s="331" t="s">
        <v>261</v>
      </c>
      <c r="K30" s="308" t="s">
        <v>515</v>
      </c>
      <c r="L30" s="193" t="s">
        <v>263</v>
      </c>
      <c r="M30" s="194" t="s">
        <v>485</v>
      </c>
      <c r="N30" s="196" t="s">
        <v>128</v>
      </c>
      <c r="O30" s="218">
        <v>4</v>
      </c>
      <c r="P30" s="218">
        <v>0</v>
      </c>
      <c r="Q30" s="231">
        <f>+P30/O30</f>
        <v>0</v>
      </c>
      <c r="R30" s="218">
        <v>8</v>
      </c>
      <c r="S30" s="218">
        <v>3</v>
      </c>
      <c r="T30" s="170">
        <f t="shared" si="1"/>
        <v>0.375</v>
      </c>
      <c r="U30" s="11"/>
      <c r="V30" s="11"/>
      <c r="W30" s="12"/>
      <c r="X30" s="232"/>
    </row>
    <row r="31" spans="2:26" ht="114" customHeight="1" thickBot="1" x14ac:dyDescent="0.3">
      <c r="C31" s="302"/>
      <c r="D31" s="302"/>
      <c r="E31" s="385"/>
      <c r="F31" s="388"/>
      <c r="G31" s="274"/>
      <c r="H31" s="277"/>
      <c r="I31" s="188" t="s">
        <v>130</v>
      </c>
      <c r="J31" s="332"/>
      <c r="K31" s="314"/>
      <c r="L31" s="44" t="s">
        <v>444</v>
      </c>
      <c r="M31" s="33" t="s">
        <v>486</v>
      </c>
      <c r="N31" s="34" t="s">
        <v>133</v>
      </c>
      <c r="O31" s="210">
        <v>12</v>
      </c>
      <c r="P31" s="210">
        <v>4</v>
      </c>
      <c r="Q31" s="50">
        <f t="shared" si="0"/>
        <v>0.33333333333333331</v>
      </c>
      <c r="R31" s="210">
        <v>33</v>
      </c>
      <c r="S31" s="210">
        <v>13</v>
      </c>
      <c r="T31" s="50">
        <f t="shared" si="1"/>
        <v>0.39393939393939392</v>
      </c>
      <c r="U31" s="11"/>
      <c r="V31" s="11"/>
      <c r="W31" s="12"/>
      <c r="X31" s="232"/>
    </row>
    <row r="32" spans="2:26" ht="109.5" customHeight="1" thickBot="1" x14ac:dyDescent="0.3">
      <c r="C32" s="302"/>
      <c r="D32" s="302"/>
      <c r="E32" s="385"/>
      <c r="F32" s="388"/>
      <c r="G32" s="274"/>
      <c r="H32" s="277"/>
      <c r="I32" s="188" t="s">
        <v>135</v>
      </c>
      <c r="J32" s="332"/>
      <c r="K32" s="314"/>
      <c r="L32" s="102" t="s">
        <v>445</v>
      </c>
      <c r="M32" s="33" t="s">
        <v>487</v>
      </c>
      <c r="N32" s="34" t="s">
        <v>137</v>
      </c>
      <c r="O32" s="210">
        <v>118</v>
      </c>
      <c r="P32" s="210">
        <v>20</v>
      </c>
      <c r="Q32" s="51">
        <f>+P32/O32</f>
        <v>0.16949152542372881</v>
      </c>
      <c r="R32" s="210">
        <v>300</v>
      </c>
      <c r="S32" s="210">
        <v>68</v>
      </c>
      <c r="T32" s="51">
        <f t="shared" si="1"/>
        <v>0.22666666666666666</v>
      </c>
      <c r="U32" s="11"/>
      <c r="V32" s="11"/>
      <c r="W32" s="12"/>
      <c r="X32" s="232"/>
    </row>
    <row r="33" spans="3:26" ht="123" customHeight="1" thickBot="1" x14ac:dyDescent="0.3">
      <c r="C33" s="302"/>
      <c r="D33" s="302"/>
      <c r="E33" s="385"/>
      <c r="F33" s="388"/>
      <c r="G33" s="275"/>
      <c r="H33" s="278"/>
      <c r="I33" s="188" t="s">
        <v>139</v>
      </c>
      <c r="J33" s="45" t="s">
        <v>198</v>
      </c>
      <c r="K33" s="33" t="s">
        <v>513</v>
      </c>
      <c r="L33" s="44" t="s">
        <v>200</v>
      </c>
      <c r="M33" s="33" t="s">
        <v>488</v>
      </c>
      <c r="N33" s="34" t="s">
        <v>143</v>
      </c>
      <c r="O33" s="210">
        <v>1</v>
      </c>
      <c r="P33" s="210">
        <v>2</v>
      </c>
      <c r="Q33" s="89">
        <v>1</v>
      </c>
      <c r="R33" s="210">
        <v>2</v>
      </c>
      <c r="S33" s="210">
        <v>2</v>
      </c>
      <c r="T33" s="89">
        <f t="shared" si="1"/>
        <v>1</v>
      </c>
      <c r="U33" s="11"/>
      <c r="V33" s="11"/>
      <c r="W33" s="12"/>
      <c r="X33" s="232"/>
    </row>
    <row r="34" spans="3:26" ht="62.25" customHeight="1" thickBot="1" x14ac:dyDescent="0.3">
      <c r="C34" s="302"/>
      <c r="D34" s="302"/>
      <c r="E34" s="385"/>
      <c r="F34" s="388"/>
      <c r="G34" s="273">
        <v>306</v>
      </c>
      <c r="H34" s="276" t="s">
        <v>282</v>
      </c>
      <c r="I34" s="188" t="s">
        <v>512</v>
      </c>
      <c r="J34" s="331" t="s">
        <v>140</v>
      </c>
      <c r="K34" s="308" t="s">
        <v>147</v>
      </c>
      <c r="L34" s="288" t="s">
        <v>142</v>
      </c>
      <c r="M34" s="308" t="s">
        <v>489</v>
      </c>
      <c r="N34" s="296" t="s">
        <v>150</v>
      </c>
      <c r="O34" s="378">
        <v>0</v>
      </c>
      <c r="P34" s="378">
        <v>0</v>
      </c>
      <c r="Q34" s="381">
        <v>0</v>
      </c>
      <c r="R34" s="378">
        <v>2</v>
      </c>
      <c r="S34" s="378">
        <v>0</v>
      </c>
      <c r="T34" s="292">
        <f t="shared" si="1"/>
        <v>0</v>
      </c>
      <c r="U34" s="11"/>
      <c r="V34" s="11"/>
      <c r="W34" s="12"/>
      <c r="X34" s="232"/>
    </row>
    <row r="35" spans="3:26" ht="64.5" customHeight="1" thickBot="1" x14ac:dyDescent="0.3">
      <c r="C35" s="302"/>
      <c r="D35" s="302"/>
      <c r="E35" s="385"/>
      <c r="F35" s="388"/>
      <c r="G35" s="274"/>
      <c r="H35" s="277"/>
      <c r="I35" s="47" t="s">
        <v>511</v>
      </c>
      <c r="J35" s="332"/>
      <c r="K35" s="314"/>
      <c r="L35" s="315"/>
      <c r="M35" s="314"/>
      <c r="N35" s="342"/>
      <c r="O35" s="379"/>
      <c r="P35" s="379"/>
      <c r="Q35" s="382"/>
      <c r="R35" s="379"/>
      <c r="S35" s="379"/>
      <c r="T35" s="338"/>
      <c r="U35" s="11"/>
      <c r="V35" s="11"/>
      <c r="W35" s="12"/>
      <c r="X35" s="232"/>
    </row>
    <row r="36" spans="3:26" ht="77.25" customHeight="1" thickBot="1" x14ac:dyDescent="0.3">
      <c r="C36" s="302"/>
      <c r="D36" s="302"/>
      <c r="E36" s="385"/>
      <c r="F36" s="388"/>
      <c r="G36" s="275"/>
      <c r="H36" s="278"/>
      <c r="I36" s="190" t="s">
        <v>154</v>
      </c>
      <c r="J36" s="333"/>
      <c r="K36" s="309"/>
      <c r="L36" s="289"/>
      <c r="M36" s="309"/>
      <c r="N36" s="297"/>
      <c r="O36" s="380"/>
      <c r="P36" s="380"/>
      <c r="Q36" s="383"/>
      <c r="R36" s="380"/>
      <c r="S36" s="380"/>
      <c r="T36" s="293"/>
      <c r="U36" s="11"/>
      <c r="V36" s="11"/>
      <c r="W36" s="12"/>
      <c r="X36" s="232"/>
    </row>
    <row r="37" spans="3:26" ht="168.75" customHeight="1" thickBot="1" x14ac:dyDescent="0.3">
      <c r="C37" s="302"/>
      <c r="D37" s="302"/>
      <c r="E37" s="385"/>
      <c r="F37" s="388"/>
      <c r="G37" s="273">
        <v>307</v>
      </c>
      <c r="H37" s="276" t="s">
        <v>283</v>
      </c>
      <c r="I37" s="47" t="s">
        <v>156</v>
      </c>
      <c r="J37" s="45" t="s">
        <v>92</v>
      </c>
      <c r="K37" s="33" t="s">
        <v>514</v>
      </c>
      <c r="L37" s="45" t="s">
        <v>94</v>
      </c>
      <c r="M37" s="33" t="s">
        <v>490</v>
      </c>
      <c r="N37" s="34" t="s">
        <v>163</v>
      </c>
      <c r="O37" s="219">
        <v>0.29399999999999998</v>
      </c>
      <c r="P37" s="220">
        <v>0.2</v>
      </c>
      <c r="Q37" s="184">
        <f t="shared" si="0"/>
        <v>0.6802721088435375</v>
      </c>
      <c r="R37" s="230">
        <v>1</v>
      </c>
      <c r="S37" s="219">
        <v>0.94599999999999995</v>
      </c>
      <c r="T37" s="171">
        <f t="shared" si="1"/>
        <v>0.94599999999999995</v>
      </c>
      <c r="U37" s="11"/>
      <c r="V37" s="11"/>
      <c r="W37" s="12"/>
      <c r="X37" s="232"/>
    </row>
    <row r="38" spans="3:26" ht="114.75" customHeight="1" thickBot="1" x14ac:dyDescent="0.3">
      <c r="C38" s="302"/>
      <c r="D38" s="302"/>
      <c r="E38" s="385"/>
      <c r="F38" s="388"/>
      <c r="G38" s="274"/>
      <c r="H38" s="277"/>
      <c r="I38" s="276" t="s">
        <v>289</v>
      </c>
      <c r="J38" s="45" t="s">
        <v>55</v>
      </c>
      <c r="K38" s="33" t="s">
        <v>336</v>
      </c>
      <c r="L38" s="44" t="s">
        <v>57</v>
      </c>
      <c r="M38" s="33" t="s">
        <v>337</v>
      </c>
      <c r="N38" s="34" t="s">
        <v>159</v>
      </c>
      <c r="O38" s="210">
        <v>1</v>
      </c>
      <c r="P38" s="210">
        <v>0</v>
      </c>
      <c r="Q38" s="50">
        <f>+P38/O38</f>
        <v>0</v>
      </c>
      <c r="R38" s="222">
        <v>1</v>
      </c>
      <c r="S38" s="222">
        <v>1</v>
      </c>
      <c r="T38" s="89">
        <v>1</v>
      </c>
      <c r="U38" s="11"/>
      <c r="V38" s="11"/>
      <c r="W38" s="12"/>
      <c r="X38" s="232"/>
    </row>
    <row r="39" spans="3:26" ht="138" customHeight="1" thickBot="1" x14ac:dyDescent="0.3">
      <c r="C39" s="302"/>
      <c r="D39" s="302"/>
      <c r="E39" s="385"/>
      <c r="F39" s="388"/>
      <c r="G39" s="274"/>
      <c r="H39" s="277"/>
      <c r="I39" s="277"/>
      <c r="J39" s="331" t="s">
        <v>166</v>
      </c>
      <c r="K39" s="308" t="s">
        <v>167</v>
      </c>
      <c r="L39" s="44" t="s">
        <v>168</v>
      </c>
      <c r="M39" s="33" t="s">
        <v>342</v>
      </c>
      <c r="N39" s="34" t="s">
        <v>169</v>
      </c>
      <c r="O39" s="210">
        <v>0</v>
      </c>
      <c r="P39" s="210">
        <v>2</v>
      </c>
      <c r="Q39" s="89">
        <v>1</v>
      </c>
      <c r="R39" s="210">
        <v>1</v>
      </c>
      <c r="S39" s="210">
        <v>2</v>
      </c>
      <c r="T39" s="89">
        <v>1</v>
      </c>
      <c r="U39" s="11"/>
      <c r="V39" s="11"/>
      <c r="W39" s="12"/>
      <c r="X39" s="232"/>
    </row>
    <row r="40" spans="3:26" ht="117" customHeight="1" thickBot="1" x14ac:dyDescent="0.3">
      <c r="C40" s="302"/>
      <c r="D40" s="302"/>
      <c r="E40" s="385"/>
      <c r="F40" s="388"/>
      <c r="G40" s="275"/>
      <c r="H40" s="278"/>
      <c r="I40" s="278"/>
      <c r="J40" s="333"/>
      <c r="K40" s="309"/>
      <c r="L40" s="44" t="s">
        <v>170</v>
      </c>
      <c r="M40" s="33" t="s">
        <v>171</v>
      </c>
      <c r="N40" s="34" t="s">
        <v>169</v>
      </c>
      <c r="O40" s="210">
        <v>0</v>
      </c>
      <c r="P40" s="210">
        <v>2</v>
      </c>
      <c r="Q40" s="89">
        <v>1</v>
      </c>
      <c r="R40" s="210">
        <v>1</v>
      </c>
      <c r="S40" s="210">
        <v>3</v>
      </c>
      <c r="T40" s="89">
        <v>1</v>
      </c>
      <c r="U40" s="11"/>
      <c r="V40" s="11"/>
      <c r="W40" s="12"/>
      <c r="X40" s="232"/>
    </row>
    <row r="41" spans="3:26" ht="108.75" customHeight="1" thickBot="1" x14ac:dyDescent="0.3">
      <c r="C41" s="302"/>
      <c r="D41" s="302"/>
      <c r="E41" s="385"/>
      <c r="F41" s="388"/>
      <c r="G41" s="273">
        <v>308</v>
      </c>
      <c r="H41" s="276" t="s">
        <v>290</v>
      </c>
      <c r="I41" s="188" t="s">
        <v>174</v>
      </c>
      <c r="J41" s="331" t="s">
        <v>467</v>
      </c>
      <c r="K41" s="308" t="s">
        <v>510</v>
      </c>
      <c r="L41" s="44" t="s">
        <v>452</v>
      </c>
      <c r="M41" s="33" t="s">
        <v>491</v>
      </c>
      <c r="N41" s="34" t="s">
        <v>307</v>
      </c>
      <c r="O41" s="211">
        <v>0</v>
      </c>
      <c r="P41" s="212">
        <v>0.6</v>
      </c>
      <c r="Q41" s="89">
        <v>1</v>
      </c>
      <c r="R41" s="230">
        <v>1</v>
      </c>
      <c r="S41" s="219">
        <v>0.74</v>
      </c>
      <c r="T41" s="50">
        <f t="shared" si="1"/>
        <v>0.74</v>
      </c>
      <c r="U41" s="11"/>
      <c r="V41" s="11"/>
      <c r="W41" s="13"/>
      <c r="X41" s="232"/>
      <c r="Y41" s="240"/>
      <c r="Z41" s="240"/>
    </row>
    <row r="42" spans="3:26" ht="115.5" customHeight="1" thickBot="1" x14ac:dyDescent="0.3">
      <c r="C42" s="302"/>
      <c r="D42" s="302"/>
      <c r="E42" s="385"/>
      <c r="F42" s="388"/>
      <c r="G42" s="274"/>
      <c r="H42" s="277"/>
      <c r="I42" s="276" t="s">
        <v>178</v>
      </c>
      <c r="J42" s="332"/>
      <c r="K42" s="314"/>
      <c r="L42" s="44" t="s">
        <v>451</v>
      </c>
      <c r="M42" s="33" t="s">
        <v>306</v>
      </c>
      <c r="N42" s="34" t="s">
        <v>307</v>
      </c>
      <c r="O42" s="230">
        <v>0</v>
      </c>
      <c r="P42" s="230">
        <v>0</v>
      </c>
      <c r="Q42" s="227">
        <v>0</v>
      </c>
      <c r="R42" s="220">
        <v>1</v>
      </c>
      <c r="S42" s="220">
        <v>1</v>
      </c>
      <c r="T42" s="89">
        <f t="shared" si="1"/>
        <v>1</v>
      </c>
      <c r="U42" s="11"/>
      <c r="V42" s="11"/>
      <c r="W42" s="13"/>
      <c r="X42" s="232"/>
    </row>
    <row r="43" spans="3:26" ht="128.25" customHeight="1" thickBot="1" x14ac:dyDescent="0.3">
      <c r="C43" s="302"/>
      <c r="D43" s="302"/>
      <c r="E43" s="385"/>
      <c r="F43" s="388"/>
      <c r="G43" s="274"/>
      <c r="H43" s="277"/>
      <c r="I43" s="277"/>
      <c r="J43" s="332"/>
      <c r="K43" s="314"/>
      <c r="L43" s="44" t="s">
        <v>450</v>
      </c>
      <c r="M43" s="33" t="s">
        <v>308</v>
      </c>
      <c r="N43" s="34" t="s">
        <v>307</v>
      </c>
      <c r="O43" s="211">
        <v>0</v>
      </c>
      <c r="P43" s="211">
        <v>0</v>
      </c>
      <c r="Q43" s="229">
        <v>0</v>
      </c>
      <c r="R43" s="211">
        <v>1</v>
      </c>
      <c r="S43" s="211">
        <v>1</v>
      </c>
      <c r="T43" s="89">
        <f t="shared" si="1"/>
        <v>1</v>
      </c>
      <c r="U43" s="11"/>
      <c r="V43" s="11"/>
      <c r="W43" s="12"/>
      <c r="X43" s="232"/>
    </row>
    <row r="44" spans="3:26" ht="130.5" customHeight="1" thickBot="1" x14ac:dyDescent="0.3">
      <c r="C44" s="302"/>
      <c r="D44" s="302"/>
      <c r="E44" s="385"/>
      <c r="F44" s="388"/>
      <c r="G44" s="274"/>
      <c r="H44" s="277"/>
      <c r="I44" s="277"/>
      <c r="J44" s="332"/>
      <c r="K44" s="314"/>
      <c r="L44" s="44" t="s">
        <v>453</v>
      </c>
      <c r="M44" s="194" t="s">
        <v>181</v>
      </c>
      <c r="N44" s="196" t="s">
        <v>310</v>
      </c>
      <c r="O44" s="223">
        <v>1</v>
      </c>
      <c r="P44" s="223">
        <v>1</v>
      </c>
      <c r="Q44" s="50">
        <f>+P44/O44</f>
        <v>1</v>
      </c>
      <c r="R44" s="223">
        <v>1</v>
      </c>
      <c r="S44" s="223">
        <v>1</v>
      </c>
      <c r="T44" s="89">
        <f>+S44/R44</f>
        <v>1</v>
      </c>
      <c r="U44" s="11"/>
      <c r="V44" s="11"/>
      <c r="W44" s="12"/>
      <c r="X44" s="232"/>
    </row>
    <row r="45" spans="3:26" ht="155.25" customHeight="1" thickBot="1" x14ac:dyDescent="0.3">
      <c r="C45" s="302"/>
      <c r="D45" s="302"/>
      <c r="E45" s="385"/>
      <c r="F45" s="388"/>
      <c r="G45" s="274"/>
      <c r="H45" s="277"/>
      <c r="I45" s="277"/>
      <c r="J45" s="333"/>
      <c r="K45" s="309"/>
      <c r="L45" s="192" t="s">
        <v>454</v>
      </c>
      <c r="M45" s="194" t="s">
        <v>492</v>
      </c>
      <c r="N45" s="196" t="s">
        <v>312</v>
      </c>
      <c r="O45" s="223">
        <v>1</v>
      </c>
      <c r="P45" s="223">
        <v>1</v>
      </c>
      <c r="Q45" s="228">
        <f>+P45/O45</f>
        <v>1</v>
      </c>
      <c r="R45" s="223">
        <v>1</v>
      </c>
      <c r="S45" s="223">
        <v>1</v>
      </c>
      <c r="T45" s="89">
        <f>+S45/R45</f>
        <v>1</v>
      </c>
      <c r="U45" s="11"/>
      <c r="V45" s="11"/>
      <c r="W45" s="12"/>
      <c r="X45" s="232"/>
    </row>
    <row r="46" spans="3:26" ht="144" customHeight="1" thickBot="1" x14ac:dyDescent="0.3">
      <c r="C46" s="302"/>
      <c r="D46" s="302"/>
      <c r="E46" s="385"/>
      <c r="F46" s="388"/>
      <c r="G46" s="274"/>
      <c r="H46" s="277"/>
      <c r="I46" s="277"/>
      <c r="J46" s="197" t="s">
        <v>455</v>
      </c>
      <c r="K46" s="194" t="s">
        <v>509</v>
      </c>
      <c r="L46" s="192" t="s">
        <v>456</v>
      </c>
      <c r="M46" s="194" t="s">
        <v>493</v>
      </c>
      <c r="N46" s="196" t="s">
        <v>307</v>
      </c>
      <c r="O46" s="224">
        <v>0</v>
      </c>
      <c r="P46" s="224">
        <v>0</v>
      </c>
      <c r="Q46" s="229">
        <v>0</v>
      </c>
      <c r="R46" s="224">
        <v>1</v>
      </c>
      <c r="S46" s="224">
        <v>1</v>
      </c>
      <c r="T46" s="89">
        <f t="shared" si="1"/>
        <v>1</v>
      </c>
      <c r="U46" s="11"/>
      <c r="V46" s="11"/>
      <c r="W46" s="12"/>
      <c r="X46" s="232"/>
    </row>
    <row r="47" spans="3:26" ht="145.5" customHeight="1" thickBot="1" x14ac:dyDescent="0.3">
      <c r="C47" s="302"/>
      <c r="D47" s="302"/>
      <c r="E47" s="385"/>
      <c r="F47" s="388"/>
      <c r="G47" s="274"/>
      <c r="H47" s="277"/>
      <c r="I47" s="277"/>
      <c r="J47" s="45" t="s">
        <v>457</v>
      </c>
      <c r="K47" s="33" t="s">
        <v>508</v>
      </c>
      <c r="L47" s="44" t="s">
        <v>458</v>
      </c>
      <c r="M47" s="33" t="s">
        <v>353</v>
      </c>
      <c r="N47" s="34" t="s">
        <v>307</v>
      </c>
      <c r="O47" s="220">
        <v>0</v>
      </c>
      <c r="P47" s="220">
        <v>0</v>
      </c>
      <c r="Q47" s="227">
        <v>0</v>
      </c>
      <c r="R47" s="221">
        <v>1</v>
      </c>
      <c r="S47" s="230">
        <v>0</v>
      </c>
      <c r="T47" s="50">
        <f t="shared" si="1"/>
        <v>0</v>
      </c>
      <c r="U47" s="11"/>
      <c r="V47" s="11"/>
      <c r="W47" s="12"/>
      <c r="X47" s="232"/>
    </row>
    <row r="48" spans="3:26" ht="147" customHeight="1" thickBot="1" x14ac:dyDescent="0.3">
      <c r="C48" s="302"/>
      <c r="D48" s="302"/>
      <c r="E48" s="385"/>
      <c r="F48" s="388"/>
      <c r="G48" s="275"/>
      <c r="H48" s="278"/>
      <c r="I48" s="278"/>
      <c r="J48" s="45" t="s">
        <v>459</v>
      </c>
      <c r="K48" s="33" t="s">
        <v>507</v>
      </c>
      <c r="L48" s="44" t="s">
        <v>460</v>
      </c>
      <c r="M48" s="33" t="s">
        <v>494</v>
      </c>
      <c r="N48" s="34" t="s">
        <v>307</v>
      </c>
      <c r="O48" s="211">
        <v>0.34</v>
      </c>
      <c r="P48" s="211">
        <v>0.255</v>
      </c>
      <c r="Q48" s="171">
        <f t="shared" si="0"/>
        <v>0.75</v>
      </c>
      <c r="R48" s="217">
        <v>1</v>
      </c>
      <c r="S48" s="217">
        <v>0.91500000000000004</v>
      </c>
      <c r="T48" s="171">
        <f t="shared" si="1"/>
        <v>0.91500000000000004</v>
      </c>
      <c r="U48" s="11"/>
      <c r="V48" s="11"/>
      <c r="W48" s="12"/>
      <c r="X48" s="232"/>
    </row>
    <row r="49" spans="3:24" ht="127.5" customHeight="1" thickBot="1" x14ac:dyDescent="0.3">
      <c r="C49" s="302"/>
      <c r="D49" s="302"/>
      <c r="E49" s="385"/>
      <c r="F49" s="388"/>
      <c r="G49" s="273">
        <v>309</v>
      </c>
      <c r="H49" s="276" t="s">
        <v>192</v>
      </c>
      <c r="I49" s="276" t="s">
        <v>498</v>
      </c>
      <c r="J49" s="45" t="s">
        <v>468</v>
      </c>
      <c r="K49" s="33" t="s">
        <v>506</v>
      </c>
      <c r="L49" s="44" t="s">
        <v>469</v>
      </c>
      <c r="M49" s="33" t="s">
        <v>495</v>
      </c>
      <c r="N49" s="34" t="s">
        <v>331</v>
      </c>
      <c r="O49" s="210">
        <v>0</v>
      </c>
      <c r="P49" s="210">
        <v>1</v>
      </c>
      <c r="Q49" s="50">
        <v>1</v>
      </c>
      <c r="R49" s="210">
        <v>1</v>
      </c>
      <c r="S49" s="210">
        <v>1</v>
      </c>
      <c r="T49" s="50">
        <f t="shared" si="1"/>
        <v>1</v>
      </c>
      <c r="U49" s="20"/>
      <c r="V49" s="20"/>
      <c r="W49" s="21"/>
      <c r="X49" s="232"/>
    </row>
    <row r="50" spans="3:24" ht="159" customHeight="1" thickBot="1" x14ac:dyDescent="0.3">
      <c r="C50" s="302"/>
      <c r="D50" s="302"/>
      <c r="E50" s="385"/>
      <c r="F50" s="388"/>
      <c r="G50" s="274"/>
      <c r="H50" s="277"/>
      <c r="I50" s="277"/>
      <c r="J50" s="45" t="s">
        <v>208</v>
      </c>
      <c r="K50" s="33" t="s">
        <v>199</v>
      </c>
      <c r="L50" s="44" t="s">
        <v>210</v>
      </c>
      <c r="M50" s="33" t="s">
        <v>496</v>
      </c>
      <c r="N50" s="34" t="s">
        <v>202</v>
      </c>
      <c r="O50" s="210">
        <v>1</v>
      </c>
      <c r="P50" s="210">
        <v>0</v>
      </c>
      <c r="Q50" s="50">
        <f t="shared" si="0"/>
        <v>0</v>
      </c>
      <c r="R50" s="210">
        <v>3</v>
      </c>
      <c r="S50" s="210">
        <v>1</v>
      </c>
      <c r="T50" s="50">
        <f t="shared" si="1"/>
        <v>0.33333333333333331</v>
      </c>
      <c r="U50" s="20"/>
      <c r="V50" s="20"/>
      <c r="W50" s="21"/>
      <c r="X50" s="232"/>
    </row>
    <row r="51" spans="3:24" ht="124.5" customHeight="1" thickBot="1" x14ac:dyDescent="0.3">
      <c r="C51" s="302"/>
      <c r="D51" s="302"/>
      <c r="E51" s="385"/>
      <c r="F51" s="388"/>
      <c r="G51" s="274"/>
      <c r="H51" s="277"/>
      <c r="I51" s="277"/>
      <c r="J51" s="45" t="s">
        <v>446</v>
      </c>
      <c r="K51" s="33" t="s">
        <v>204</v>
      </c>
      <c r="L51" s="44" t="s">
        <v>447</v>
      </c>
      <c r="M51" s="33" t="s">
        <v>497</v>
      </c>
      <c r="N51" s="34" t="s">
        <v>207</v>
      </c>
      <c r="O51" s="210">
        <v>4</v>
      </c>
      <c r="P51" s="210">
        <v>0</v>
      </c>
      <c r="Q51" s="50">
        <f t="shared" si="0"/>
        <v>0</v>
      </c>
      <c r="R51" s="210">
        <v>12</v>
      </c>
      <c r="S51" s="210">
        <v>0</v>
      </c>
      <c r="T51" s="50">
        <f t="shared" si="1"/>
        <v>0</v>
      </c>
      <c r="U51" s="20"/>
      <c r="V51" s="20"/>
      <c r="W51" s="21"/>
      <c r="X51" s="232"/>
    </row>
    <row r="52" spans="3:24" ht="163.5" customHeight="1" thickBot="1" x14ac:dyDescent="0.3">
      <c r="C52" s="302"/>
      <c r="D52" s="302"/>
      <c r="E52" s="385"/>
      <c r="F52" s="388"/>
      <c r="G52" s="274"/>
      <c r="H52" s="277"/>
      <c r="I52" s="277"/>
      <c r="J52" s="45" t="s">
        <v>448</v>
      </c>
      <c r="K52" s="33" t="s">
        <v>505</v>
      </c>
      <c r="L52" s="44" t="s">
        <v>449</v>
      </c>
      <c r="M52" s="33" t="s">
        <v>498</v>
      </c>
      <c r="N52" s="34" t="s">
        <v>194</v>
      </c>
      <c r="O52" s="210">
        <v>1</v>
      </c>
      <c r="P52" s="210">
        <v>0</v>
      </c>
      <c r="Q52" s="50">
        <f t="shared" si="0"/>
        <v>0</v>
      </c>
      <c r="R52" s="210">
        <v>3</v>
      </c>
      <c r="S52" s="210">
        <v>1</v>
      </c>
      <c r="T52" s="50">
        <f t="shared" si="1"/>
        <v>0.33333333333333331</v>
      </c>
      <c r="U52" s="20"/>
      <c r="V52" s="20"/>
      <c r="W52" s="21"/>
      <c r="X52" s="232"/>
    </row>
    <row r="53" spans="3:24" ht="119.25" customHeight="1" thickBot="1" x14ac:dyDescent="0.3">
      <c r="C53" s="302"/>
      <c r="D53" s="302"/>
      <c r="E53" s="385"/>
      <c r="F53" s="388"/>
      <c r="G53" s="274"/>
      <c r="H53" s="277"/>
      <c r="I53" s="277"/>
      <c r="J53" s="331" t="s">
        <v>211</v>
      </c>
      <c r="K53" s="308" t="s">
        <v>212</v>
      </c>
      <c r="L53" s="44" t="s">
        <v>213</v>
      </c>
      <c r="M53" s="33" t="s">
        <v>214</v>
      </c>
      <c r="N53" s="34" t="s">
        <v>215</v>
      </c>
      <c r="O53" s="210">
        <v>10</v>
      </c>
      <c r="P53" s="210">
        <v>0</v>
      </c>
      <c r="Q53" s="50">
        <f>+P53/O53</f>
        <v>0</v>
      </c>
      <c r="R53" s="210">
        <v>20</v>
      </c>
      <c r="S53" s="210">
        <v>0</v>
      </c>
      <c r="T53" s="50">
        <f t="shared" si="1"/>
        <v>0</v>
      </c>
      <c r="U53" s="20"/>
      <c r="V53" s="20"/>
      <c r="W53" s="21"/>
      <c r="X53" s="232"/>
    </row>
    <row r="54" spans="3:24" ht="131.25" customHeight="1" thickBot="1" x14ac:dyDescent="0.3">
      <c r="C54" s="302"/>
      <c r="D54" s="302"/>
      <c r="E54" s="385"/>
      <c r="F54" s="388"/>
      <c r="G54" s="274"/>
      <c r="H54" s="277"/>
      <c r="I54" s="277"/>
      <c r="J54" s="332"/>
      <c r="K54" s="314"/>
      <c r="L54" s="44" t="s">
        <v>216</v>
      </c>
      <c r="M54" s="33" t="s">
        <v>217</v>
      </c>
      <c r="N54" s="34" t="s">
        <v>218</v>
      </c>
      <c r="O54" s="210">
        <v>8</v>
      </c>
      <c r="P54" s="210">
        <v>10</v>
      </c>
      <c r="Q54" s="50">
        <f>+O54/P54</f>
        <v>0.8</v>
      </c>
      <c r="R54" s="210">
        <v>8</v>
      </c>
      <c r="S54" s="225">
        <v>9</v>
      </c>
      <c r="T54" s="50">
        <f>+R54/S54</f>
        <v>0.88888888888888884</v>
      </c>
      <c r="U54" s="20"/>
      <c r="V54" s="20"/>
      <c r="W54" s="21"/>
      <c r="X54" s="232"/>
    </row>
    <row r="55" spans="3:24" ht="150.75" customHeight="1" thickBot="1" x14ac:dyDescent="0.3">
      <c r="C55" s="302"/>
      <c r="D55" s="302"/>
      <c r="E55" s="385"/>
      <c r="F55" s="388"/>
      <c r="G55" s="274"/>
      <c r="H55" s="277"/>
      <c r="I55" s="277"/>
      <c r="J55" s="333"/>
      <c r="K55" s="309"/>
      <c r="L55" s="44" t="s">
        <v>220</v>
      </c>
      <c r="M55" s="33" t="s">
        <v>221</v>
      </c>
      <c r="N55" s="34" t="s">
        <v>222</v>
      </c>
      <c r="O55" s="211">
        <v>1</v>
      </c>
      <c r="P55" s="211">
        <v>0.75</v>
      </c>
      <c r="Q55" s="50">
        <f t="shared" si="0"/>
        <v>0.75</v>
      </c>
      <c r="R55" s="211">
        <v>1</v>
      </c>
      <c r="S55" s="219">
        <v>0.86499999999999999</v>
      </c>
      <c r="T55" s="50">
        <f t="shared" si="1"/>
        <v>0.86499999999999999</v>
      </c>
      <c r="U55" s="20"/>
      <c r="V55" s="20"/>
      <c r="W55" s="21"/>
      <c r="X55" s="232"/>
    </row>
    <row r="56" spans="3:24" ht="159.75" customHeight="1" thickBot="1" x14ac:dyDescent="0.3">
      <c r="C56" s="302"/>
      <c r="D56" s="302"/>
      <c r="E56" s="385"/>
      <c r="F56" s="388"/>
      <c r="G56" s="274"/>
      <c r="H56" s="277"/>
      <c r="I56" s="277"/>
      <c r="J56" s="45" t="s">
        <v>224</v>
      </c>
      <c r="K56" s="33" t="s">
        <v>225</v>
      </c>
      <c r="L56" s="44" t="s">
        <v>226</v>
      </c>
      <c r="M56" s="33" t="s">
        <v>227</v>
      </c>
      <c r="N56" s="34" t="s">
        <v>228</v>
      </c>
      <c r="O56" s="211">
        <v>0</v>
      </c>
      <c r="P56" s="211">
        <v>0.2</v>
      </c>
      <c r="Q56" s="89">
        <v>1</v>
      </c>
      <c r="R56" s="211">
        <v>1</v>
      </c>
      <c r="S56" s="220">
        <v>1</v>
      </c>
      <c r="T56" s="89">
        <f t="shared" si="1"/>
        <v>1</v>
      </c>
      <c r="U56" s="20"/>
      <c r="V56" s="20"/>
      <c r="W56" s="21"/>
      <c r="X56" s="232"/>
    </row>
    <row r="57" spans="3:24" ht="103.5" customHeight="1" thickBot="1" x14ac:dyDescent="0.3">
      <c r="C57" s="302"/>
      <c r="D57" s="302"/>
      <c r="E57" s="385"/>
      <c r="F57" s="388"/>
      <c r="G57" s="274"/>
      <c r="H57" s="277"/>
      <c r="I57" s="277"/>
      <c r="J57" s="331" t="s">
        <v>236</v>
      </c>
      <c r="K57" s="308" t="s">
        <v>237</v>
      </c>
      <c r="L57" s="44" t="s">
        <v>238</v>
      </c>
      <c r="M57" s="33" t="s">
        <v>239</v>
      </c>
      <c r="N57" s="34" t="s">
        <v>240</v>
      </c>
      <c r="O57" s="210">
        <v>1250</v>
      </c>
      <c r="P57" s="210">
        <v>1290</v>
      </c>
      <c r="Q57" s="89">
        <v>1</v>
      </c>
      <c r="R57" s="210">
        <v>3550</v>
      </c>
      <c r="S57" s="222">
        <v>3770</v>
      </c>
      <c r="T57" s="89">
        <v>1</v>
      </c>
      <c r="U57" s="20"/>
      <c r="V57" s="20"/>
      <c r="W57" s="176"/>
      <c r="X57" s="232"/>
    </row>
    <row r="58" spans="3:24" ht="135.75" customHeight="1" thickBot="1" x14ac:dyDescent="0.3">
      <c r="C58" s="302"/>
      <c r="D58" s="302"/>
      <c r="E58" s="385"/>
      <c r="F58" s="388"/>
      <c r="G58" s="274"/>
      <c r="H58" s="277"/>
      <c r="I58" s="277"/>
      <c r="J58" s="333"/>
      <c r="K58" s="309"/>
      <c r="L58" s="44" t="s">
        <v>241</v>
      </c>
      <c r="M58" s="33" t="s">
        <v>324</v>
      </c>
      <c r="N58" s="34" t="s">
        <v>325</v>
      </c>
      <c r="O58" s="217">
        <v>1</v>
      </c>
      <c r="P58" s="217">
        <v>0.99</v>
      </c>
      <c r="Q58" s="89">
        <f t="shared" si="0"/>
        <v>0.99</v>
      </c>
      <c r="R58" s="211">
        <v>1</v>
      </c>
      <c r="S58" s="219">
        <v>0.99</v>
      </c>
      <c r="T58" s="89">
        <f t="shared" si="1"/>
        <v>0.99</v>
      </c>
      <c r="U58" s="20"/>
      <c r="V58" s="20"/>
      <c r="W58" s="21"/>
      <c r="X58" s="232"/>
    </row>
    <row r="59" spans="3:24" ht="109.5" customHeight="1" thickBot="1" x14ac:dyDescent="0.3">
      <c r="C59" s="302"/>
      <c r="D59" s="302"/>
      <c r="E59" s="385"/>
      <c r="F59" s="388"/>
      <c r="G59" s="274"/>
      <c r="H59" s="277"/>
      <c r="I59" s="277"/>
      <c r="J59" s="331" t="s">
        <v>242</v>
      </c>
      <c r="K59" s="308" t="s">
        <v>504</v>
      </c>
      <c r="L59" s="44" t="s">
        <v>244</v>
      </c>
      <c r="M59" s="33" t="s">
        <v>245</v>
      </c>
      <c r="N59" s="34" t="s">
        <v>228</v>
      </c>
      <c r="O59" s="219">
        <v>0.46700000000000003</v>
      </c>
      <c r="P59" s="219">
        <v>0.46679999999999999</v>
      </c>
      <c r="Q59" s="50">
        <f>+P59/O59</f>
        <v>0.99957173447537462</v>
      </c>
      <c r="R59" s="212">
        <v>1</v>
      </c>
      <c r="S59" s="219">
        <v>0.98009999999999997</v>
      </c>
      <c r="T59" s="50">
        <f t="shared" si="1"/>
        <v>0.98009999999999997</v>
      </c>
      <c r="U59" s="20"/>
      <c r="V59" s="20"/>
      <c r="W59" s="21"/>
      <c r="X59" s="232"/>
    </row>
    <row r="60" spans="3:24" ht="141" customHeight="1" thickBot="1" x14ac:dyDescent="0.3">
      <c r="C60" s="302"/>
      <c r="D60" s="302"/>
      <c r="E60" s="386"/>
      <c r="F60" s="389"/>
      <c r="G60" s="275"/>
      <c r="H60" s="278"/>
      <c r="I60" s="278"/>
      <c r="J60" s="333"/>
      <c r="K60" s="309"/>
      <c r="L60" s="44" t="s">
        <v>294</v>
      </c>
      <c r="M60" s="33" t="s">
        <v>326</v>
      </c>
      <c r="N60" s="34" t="s">
        <v>228</v>
      </c>
      <c r="O60" s="217">
        <v>0.36699999999999999</v>
      </c>
      <c r="P60" s="217">
        <v>0.36680000000000001</v>
      </c>
      <c r="Q60" s="50">
        <f>+P60/O60</f>
        <v>0.99945504087193471</v>
      </c>
      <c r="R60" s="212">
        <v>1.0003</v>
      </c>
      <c r="S60" s="219">
        <v>0.82509999999999994</v>
      </c>
      <c r="T60" s="50">
        <f>+S60/R60</f>
        <v>0.82485254423672894</v>
      </c>
      <c r="U60" s="20"/>
      <c r="V60" s="20"/>
      <c r="W60" s="21"/>
      <c r="X60" s="232"/>
    </row>
    <row r="61" spans="3:24" ht="141.75" customHeight="1" thickBot="1" x14ac:dyDescent="0.3">
      <c r="C61" s="302"/>
      <c r="D61" s="302"/>
      <c r="E61" s="384">
        <v>4</v>
      </c>
      <c r="F61" s="387" t="s">
        <v>246</v>
      </c>
      <c r="G61" s="183">
        <v>401</v>
      </c>
      <c r="H61" s="47" t="s">
        <v>247</v>
      </c>
      <c r="I61" s="47" t="s">
        <v>503</v>
      </c>
      <c r="J61" s="204" t="s">
        <v>465</v>
      </c>
      <c r="K61" s="41" t="s">
        <v>327</v>
      </c>
      <c r="L61" s="205" t="s">
        <v>466</v>
      </c>
      <c r="M61" s="41" t="s">
        <v>499</v>
      </c>
      <c r="N61" s="42" t="s">
        <v>329</v>
      </c>
      <c r="O61" s="226">
        <v>10</v>
      </c>
      <c r="P61" s="226">
        <v>11</v>
      </c>
      <c r="Q61" s="202">
        <v>1</v>
      </c>
      <c r="R61" s="226">
        <v>20</v>
      </c>
      <c r="S61" s="226">
        <v>21</v>
      </c>
      <c r="T61" s="202">
        <v>1</v>
      </c>
      <c r="U61" s="22"/>
      <c r="V61" s="22"/>
      <c r="W61" s="23"/>
      <c r="X61" s="232"/>
    </row>
    <row r="62" spans="3:24" ht="120.75" customHeight="1" thickBot="1" x14ac:dyDescent="0.3">
      <c r="C62" s="302"/>
      <c r="D62" s="302"/>
      <c r="E62" s="385"/>
      <c r="F62" s="388"/>
      <c r="G62" s="274">
        <v>402</v>
      </c>
      <c r="H62" s="277" t="s">
        <v>284</v>
      </c>
      <c r="I62" s="190" t="s">
        <v>253</v>
      </c>
      <c r="J62" s="371" t="s">
        <v>470</v>
      </c>
      <c r="K62" s="372" t="s">
        <v>502</v>
      </c>
      <c r="L62" s="373" t="s">
        <v>471</v>
      </c>
      <c r="M62" s="376" t="s">
        <v>500</v>
      </c>
      <c r="N62" s="377" t="s">
        <v>334</v>
      </c>
      <c r="O62" s="374">
        <v>0.75</v>
      </c>
      <c r="P62" s="374">
        <v>0</v>
      </c>
      <c r="Q62" s="338">
        <f t="shared" si="0"/>
        <v>0</v>
      </c>
      <c r="R62" s="374">
        <v>0.75</v>
      </c>
      <c r="S62" s="374">
        <v>0</v>
      </c>
      <c r="T62" s="338">
        <f t="shared" si="1"/>
        <v>0</v>
      </c>
      <c r="U62" s="24"/>
      <c r="V62" s="24"/>
      <c r="W62" s="25"/>
      <c r="X62" s="232"/>
    </row>
    <row r="63" spans="3:24" ht="75.75" customHeight="1" thickBot="1" x14ac:dyDescent="0.3">
      <c r="C63" s="302"/>
      <c r="D63" s="302"/>
      <c r="E63" s="385"/>
      <c r="F63" s="388"/>
      <c r="G63" s="275"/>
      <c r="H63" s="278"/>
      <c r="I63" s="190" t="s">
        <v>498</v>
      </c>
      <c r="J63" s="355"/>
      <c r="K63" s="366"/>
      <c r="L63" s="368"/>
      <c r="M63" s="370"/>
      <c r="N63" s="360"/>
      <c r="O63" s="375"/>
      <c r="P63" s="375"/>
      <c r="Q63" s="293"/>
      <c r="R63" s="375"/>
      <c r="S63" s="375"/>
      <c r="T63" s="293"/>
      <c r="U63" s="24"/>
      <c r="V63" s="24"/>
      <c r="W63" s="25"/>
      <c r="X63" s="232"/>
    </row>
    <row r="64" spans="3:24" ht="135" customHeight="1" thickBot="1" x14ac:dyDescent="0.3">
      <c r="C64" s="303"/>
      <c r="D64" s="303"/>
      <c r="E64" s="386"/>
      <c r="F64" s="389"/>
      <c r="G64" s="186">
        <v>403</v>
      </c>
      <c r="H64" s="190" t="s">
        <v>258</v>
      </c>
      <c r="I64" s="190" t="s">
        <v>260</v>
      </c>
      <c r="J64" s="65" t="s">
        <v>203</v>
      </c>
      <c r="K64" s="41" t="s">
        <v>501</v>
      </c>
      <c r="L64" s="46" t="s">
        <v>205</v>
      </c>
      <c r="M64" s="41" t="s">
        <v>498</v>
      </c>
      <c r="N64" s="42" t="s">
        <v>194</v>
      </c>
      <c r="O64" s="226">
        <v>1</v>
      </c>
      <c r="P64" s="226">
        <v>1</v>
      </c>
      <c r="Q64" s="51">
        <f>+P64/O64</f>
        <v>1</v>
      </c>
      <c r="R64" s="226">
        <v>2</v>
      </c>
      <c r="S64" s="226">
        <v>2</v>
      </c>
      <c r="T64" s="51">
        <f t="shared" si="1"/>
        <v>1</v>
      </c>
      <c r="U64" s="22"/>
      <c r="V64" s="22"/>
      <c r="W64" s="23"/>
      <c r="X64" s="232"/>
    </row>
    <row r="65" spans="1:24" ht="12.75" customHeight="1" x14ac:dyDescent="0.35">
      <c r="E65" s="241"/>
      <c r="F65" s="233"/>
      <c r="G65" s="232"/>
      <c r="H65" s="234"/>
      <c r="I65" s="234"/>
      <c r="J65" s="27"/>
      <c r="K65" s="27"/>
      <c r="L65" s="27"/>
      <c r="M65" s="27"/>
      <c r="N65" s="27"/>
      <c r="O65" s="27"/>
      <c r="P65" s="27"/>
      <c r="Q65" s="27"/>
      <c r="R65" s="27"/>
      <c r="S65" s="27"/>
      <c r="T65" s="27"/>
      <c r="U65" s="27"/>
      <c r="V65" s="27"/>
      <c r="W65" s="27"/>
      <c r="X65" s="232"/>
    </row>
    <row r="66" spans="1:24" s="242" customFormat="1" x14ac:dyDescent="0.35">
      <c r="A66" s="233"/>
      <c r="B66" s="233"/>
      <c r="C66" s="233"/>
      <c r="D66" s="233"/>
      <c r="E66" s="232"/>
      <c r="F66" s="233"/>
      <c r="G66" s="232"/>
      <c r="H66" s="234"/>
      <c r="I66" s="234"/>
      <c r="J66" s="232"/>
      <c r="K66" s="232"/>
      <c r="L66" s="232"/>
      <c r="M66" s="232"/>
      <c r="N66" s="232"/>
      <c r="O66" s="232"/>
      <c r="P66" s="232"/>
      <c r="Q66" s="232"/>
      <c r="R66" s="232"/>
      <c r="S66" s="232"/>
      <c r="T66" s="232"/>
      <c r="U66" s="232"/>
      <c r="V66" s="232"/>
      <c r="W66" s="232"/>
      <c r="X66" s="233"/>
    </row>
    <row r="67" spans="1:24" x14ac:dyDescent="0.35">
      <c r="E67" s="232"/>
      <c r="F67" s="233"/>
      <c r="G67" s="232"/>
      <c r="H67" s="234"/>
      <c r="I67" s="234"/>
      <c r="J67" s="232"/>
      <c r="K67" s="232"/>
      <c r="L67" s="232"/>
      <c r="M67" s="232"/>
      <c r="N67" s="232"/>
      <c r="O67" s="232"/>
      <c r="P67" s="232"/>
      <c r="Q67" s="232"/>
      <c r="R67" s="232"/>
      <c r="S67" s="232"/>
      <c r="T67" s="232"/>
      <c r="U67" s="232"/>
      <c r="V67" s="232"/>
      <c r="W67" s="232"/>
      <c r="X67" s="232"/>
    </row>
    <row r="68" spans="1:24" x14ac:dyDescent="0.35">
      <c r="E68" s="232"/>
      <c r="F68" s="233"/>
      <c r="G68" s="232"/>
      <c r="H68" s="234"/>
      <c r="I68" s="234"/>
      <c r="J68" s="232"/>
      <c r="K68" s="232"/>
      <c r="L68" s="232"/>
      <c r="M68" s="232"/>
      <c r="N68" s="232"/>
      <c r="O68" s="232"/>
      <c r="P68" s="232"/>
      <c r="Q68" s="232"/>
      <c r="R68" s="232"/>
      <c r="S68" s="232"/>
      <c r="T68" s="232"/>
      <c r="U68" s="232"/>
      <c r="V68" s="232"/>
      <c r="W68" s="232"/>
      <c r="X68" s="232"/>
    </row>
  </sheetData>
  <sheetProtection algorithmName="SHA-512" hashValue="ZZkli5ZJRO/Sz6Ul2aLDAKiPbQFMeSFe8lmxHLwTYAoZFuwfHVGir8K3byVye+cH7WqDALYlCsHJUP1S8M3H4g==" saltValue="D/LK9QPecpPZYlkDcxQ3EA==" spinCount="100000" sheet="1" objects="1" scenarios="1"/>
  <mergeCells count="120">
    <mergeCell ref="J10:J11"/>
    <mergeCell ref="G17:G19"/>
    <mergeCell ref="H30:H33"/>
    <mergeCell ref="G21:G22"/>
    <mergeCell ref="G23:G26"/>
    <mergeCell ref="H23:H26"/>
    <mergeCell ref="C9:C64"/>
    <mergeCell ref="D9:D64"/>
    <mergeCell ref="E20:E60"/>
    <mergeCell ref="E61:E64"/>
    <mergeCell ref="F20:F60"/>
    <mergeCell ref="F61:F64"/>
    <mergeCell ref="H37:H40"/>
    <mergeCell ref="G37:G40"/>
    <mergeCell ref="E9:E12"/>
    <mergeCell ref="F9:F12"/>
    <mergeCell ref="G10:G12"/>
    <mergeCell ref="H10:H12"/>
    <mergeCell ref="I23:I26"/>
    <mergeCell ref="J23:J24"/>
    <mergeCell ref="H21:H22"/>
    <mergeCell ref="G41:G48"/>
    <mergeCell ref="H41:H48"/>
    <mergeCell ref="J41:J45"/>
    <mergeCell ref="C2:T2"/>
    <mergeCell ref="C3:T3"/>
    <mergeCell ref="C4:T4"/>
    <mergeCell ref="C6:I6"/>
    <mergeCell ref="C7:C8"/>
    <mergeCell ref="D7:D8"/>
    <mergeCell ref="E7:F7"/>
    <mergeCell ref="N7:N8"/>
    <mergeCell ref="O7:Q7"/>
    <mergeCell ref="R7:T7"/>
    <mergeCell ref="J6:T6"/>
    <mergeCell ref="L7:L8"/>
    <mergeCell ref="M7:M8"/>
    <mergeCell ref="K7:K8"/>
    <mergeCell ref="J7:J8"/>
    <mergeCell ref="I7:I8"/>
    <mergeCell ref="G7:G8"/>
    <mergeCell ref="H7:H8"/>
    <mergeCell ref="P10:P11"/>
    <mergeCell ref="Q10:Q11"/>
    <mergeCell ref="R10:R11"/>
    <mergeCell ref="S10:S11"/>
    <mergeCell ref="T10:T11"/>
    <mergeCell ref="K10:K11"/>
    <mergeCell ref="L10:L11"/>
    <mergeCell ref="M10:M11"/>
    <mergeCell ref="N10:N11"/>
    <mergeCell ref="O10:O11"/>
    <mergeCell ref="Q13:Q19"/>
    <mergeCell ref="R13:R19"/>
    <mergeCell ref="S13:S19"/>
    <mergeCell ref="T13:T19"/>
    <mergeCell ref="E13:E19"/>
    <mergeCell ref="F13:F19"/>
    <mergeCell ref="G13:G14"/>
    <mergeCell ref="H13:H14"/>
    <mergeCell ref="G15:G16"/>
    <mergeCell ref="L13:L19"/>
    <mergeCell ref="M13:M19"/>
    <mergeCell ref="N13:N19"/>
    <mergeCell ref="O13:O19"/>
    <mergeCell ref="P13:P19"/>
    <mergeCell ref="J13:J19"/>
    <mergeCell ref="K13:K19"/>
    <mergeCell ref="H15:H16"/>
    <mergeCell ref="H17:H19"/>
    <mergeCell ref="K23:K24"/>
    <mergeCell ref="G27:G29"/>
    <mergeCell ref="H27:H29"/>
    <mergeCell ref="I27:I29"/>
    <mergeCell ref="J28:J29"/>
    <mergeCell ref="K28:K29"/>
    <mergeCell ref="I21:I22"/>
    <mergeCell ref="G34:G36"/>
    <mergeCell ref="H34:H36"/>
    <mergeCell ref="J34:J36"/>
    <mergeCell ref="K34:K36"/>
    <mergeCell ref="G30:G33"/>
    <mergeCell ref="R34:R36"/>
    <mergeCell ref="S34:S36"/>
    <mergeCell ref="T34:T36"/>
    <mergeCell ref="M34:M36"/>
    <mergeCell ref="N34:N36"/>
    <mergeCell ref="O34:O36"/>
    <mergeCell ref="P34:P36"/>
    <mergeCell ref="Q34:Q36"/>
    <mergeCell ref="J30:J32"/>
    <mergeCell ref="K30:K32"/>
    <mergeCell ref="I42:I48"/>
    <mergeCell ref="I38:I40"/>
    <mergeCell ref="J39:J40"/>
    <mergeCell ref="K53:K55"/>
    <mergeCell ref="J53:J55"/>
    <mergeCell ref="H49:H60"/>
    <mergeCell ref="I49:I60"/>
    <mergeCell ref="G49:G60"/>
    <mergeCell ref="L34:L36"/>
    <mergeCell ref="R62:R63"/>
    <mergeCell ref="S62:S63"/>
    <mergeCell ref="T62:T63"/>
    <mergeCell ref="M62:M63"/>
    <mergeCell ref="N62:N63"/>
    <mergeCell ref="O62:O63"/>
    <mergeCell ref="P62:P63"/>
    <mergeCell ref="Q62:Q63"/>
    <mergeCell ref="K39:K40"/>
    <mergeCell ref="K41:K45"/>
    <mergeCell ref="G62:G63"/>
    <mergeCell ref="H62:H63"/>
    <mergeCell ref="J62:J63"/>
    <mergeCell ref="K62:K63"/>
    <mergeCell ref="L62:L63"/>
    <mergeCell ref="J57:J58"/>
    <mergeCell ref="K57:K58"/>
    <mergeCell ref="J59:J60"/>
    <mergeCell ref="K59:K60"/>
  </mergeCells>
  <conditionalFormatting sqref="Q9:Q10 T10 Q12:Q13 T12:T13 Q20:Q32 T20:T32 T37:T62 Q37:Q41 Q44:Q45 Q48:Q62">
    <cfRule type="cellIs" dxfId="14" priority="10" stopIfTrue="1" operator="greaterThanOrEqual">
      <formula>80.01%</formula>
    </cfRule>
    <cfRule type="cellIs" dxfId="13" priority="11" stopIfTrue="1" operator="between">
      <formula>0.501</formula>
      <formula>0.8</formula>
    </cfRule>
    <cfRule type="cellIs" dxfId="12" priority="12" stopIfTrue="1" operator="lessThanOrEqual">
      <formula>0.5</formula>
    </cfRule>
  </conditionalFormatting>
  <conditionalFormatting sqref="T9">
    <cfRule type="cellIs" dxfId="11" priority="7" stopIfTrue="1" operator="greaterThanOrEqual">
      <formula>80.01%</formula>
    </cfRule>
    <cfRule type="cellIs" dxfId="10" priority="8" stopIfTrue="1" operator="between">
      <formula>0.501</formula>
      <formula>0.8</formula>
    </cfRule>
    <cfRule type="cellIs" dxfId="9" priority="9" stopIfTrue="1" operator="lessThanOrEqual">
      <formula>0.5</formula>
    </cfRule>
  </conditionalFormatting>
  <conditionalFormatting sqref="Q64 Q33">
    <cfRule type="cellIs" dxfId="8" priority="4" stopIfTrue="1" operator="greaterThanOrEqual">
      <formula>80.01%</formula>
    </cfRule>
    <cfRule type="cellIs" dxfId="7" priority="5" stopIfTrue="1" operator="between">
      <formula>0.501</formula>
      <formula>0.8</formula>
    </cfRule>
    <cfRule type="cellIs" dxfId="6" priority="6" stopIfTrue="1" operator="lessThanOrEqual">
      <formula>0.5</formula>
    </cfRule>
  </conditionalFormatting>
  <conditionalFormatting sqref="T64 T33:T34">
    <cfRule type="cellIs" dxfId="5" priority="1" stopIfTrue="1" operator="greaterThanOrEqual">
      <formula>80.01%</formula>
    </cfRule>
    <cfRule type="cellIs" dxfId="4" priority="2" stopIfTrue="1" operator="between">
      <formula>0.501</formula>
      <formula>0.8</formula>
    </cfRule>
    <cfRule type="cellIs" dxfId="3" priority="3" stopIfTrue="1" operator="lessThanOrEqual">
      <formula>0.5</formula>
    </cfRule>
  </conditionalFormatting>
  <pageMargins left="0.39370078740157483" right="0.19685039370078741" top="0.59055118110236227" bottom="0.19685039370078741" header="0.31496062992125984" footer="0"/>
  <pageSetup scale="19" orientation="portrait" r:id="rId1"/>
  <headerFooter alignWithMargins="0">
    <oddFooter>Página &amp;P de &amp;F</oddFooter>
  </headerFooter>
  <rowBreaks count="1" manualBreakCount="1">
    <brk id="40" max="2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2"/>
  <sheetViews>
    <sheetView zoomScale="85" zoomScaleNormal="85" workbookViewId="0">
      <selection activeCell="K10" sqref="K10"/>
    </sheetView>
  </sheetViews>
  <sheetFormatPr baseColWidth="10" defaultRowHeight="12.75" x14ac:dyDescent="0.2"/>
  <cols>
    <col min="1" max="1" width="4.5703125" style="52" customWidth="1"/>
    <col min="2" max="2" width="0.7109375" style="52" customWidth="1"/>
    <col min="3" max="3" width="4.7109375" style="52" customWidth="1"/>
    <col min="4" max="4" width="35.28515625" style="52" customWidth="1"/>
    <col min="5" max="5" width="14.7109375" style="52" customWidth="1"/>
    <col min="6" max="6" width="14.42578125" style="52" customWidth="1"/>
    <col min="7" max="7" width="14.28515625" style="52" customWidth="1"/>
    <col min="8" max="8" width="0.7109375" style="52" customWidth="1"/>
    <col min="9" max="17" width="11.42578125" style="52"/>
    <col min="18" max="18" width="36.85546875" style="52" customWidth="1"/>
    <col min="19" max="16384" width="11.42578125" style="52"/>
  </cols>
  <sheetData>
    <row r="2" spans="1:17" ht="18" x14ac:dyDescent="0.25">
      <c r="B2" s="61"/>
      <c r="C2" s="403" t="s">
        <v>473</v>
      </c>
      <c r="D2" s="403"/>
      <c r="E2" s="403"/>
      <c r="F2" s="403"/>
      <c r="G2" s="403"/>
      <c r="H2" s="61"/>
    </row>
    <row r="3" spans="1:17" ht="2.25" customHeight="1" thickBot="1" x14ac:dyDescent="0.25">
      <c r="B3" s="61"/>
      <c r="C3" s="61"/>
      <c r="D3" s="61"/>
      <c r="E3" s="61"/>
      <c r="F3" s="61"/>
      <c r="G3" s="61"/>
      <c r="H3" s="61"/>
    </row>
    <row r="4" spans="1:17" ht="41.25" customHeight="1" x14ac:dyDescent="0.2">
      <c r="B4" s="61"/>
      <c r="C4" s="53" t="s">
        <v>269</v>
      </c>
      <c r="D4" s="54" t="s">
        <v>270</v>
      </c>
      <c r="E4" s="54" t="s">
        <v>271</v>
      </c>
      <c r="F4" s="54" t="s">
        <v>268</v>
      </c>
      <c r="G4" s="55" t="s">
        <v>223</v>
      </c>
      <c r="H4" s="61"/>
    </row>
    <row r="5" spans="1:17" ht="22.5" customHeight="1" x14ac:dyDescent="0.2">
      <c r="B5" s="61"/>
      <c r="C5" s="56">
        <v>1</v>
      </c>
      <c r="D5" s="57" t="s">
        <v>272</v>
      </c>
      <c r="E5" s="177">
        <v>0.39840000000000003</v>
      </c>
      <c r="F5" s="178">
        <v>0.16839999999999999</v>
      </c>
      <c r="G5" s="62">
        <f t="shared" ref="G5:G8" si="0">+F5/E5</f>
        <v>0.42269076305220876</v>
      </c>
      <c r="H5" s="61"/>
    </row>
    <row r="6" spans="1:17" ht="23.25" customHeight="1" x14ac:dyDescent="0.2">
      <c r="B6" s="61"/>
      <c r="C6" s="56">
        <v>2</v>
      </c>
      <c r="D6" s="57" t="s">
        <v>273</v>
      </c>
      <c r="E6" s="177">
        <v>0.51119999999999999</v>
      </c>
      <c r="F6" s="177">
        <v>0</v>
      </c>
      <c r="G6" s="58">
        <f t="shared" si="0"/>
        <v>0</v>
      </c>
      <c r="H6" s="61"/>
    </row>
    <row r="7" spans="1:17" ht="23.25" customHeight="1" x14ac:dyDescent="0.2">
      <c r="B7" s="61"/>
      <c r="C7" s="56">
        <v>3</v>
      </c>
      <c r="D7" s="57" t="s">
        <v>274</v>
      </c>
      <c r="E7" s="174"/>
      <c r="F7" s="174"/>
      <c r="G7" s="58" t="e">
        <f>+F7/E7</f>
        <v>#DIV/0!</v>
      </c>
      <c r="H7" s="61"/>
      <c r="P7" s="81"/>
      <c r="Q7" s="81"/>
    </row>
    <row r="8" spans="1:17" ht="23.25" customHeight="1" x14ac:dyDescent="0.2">
      <c r="B8" s="61"/>
      <c r="C8" s="56">
        <v>4</v>
      </c>
      <c r="D8" s="57" t="s">
        <v>275</v>
      </c>
      <c r="E8" s="175"/>
      <c r="F8" s="175"/>
      <c r="G8" s="58" t="e">
        <f t="shared" si="0"/>
        <v>#DIV/0!</v>
      </c>
      <c r="H8" s="61"/>
      <c r="P8" s="81"/>
      <c r="Q8" s="81"/>
    </row>
    <row r="9" spans="1:17" ht="23.25" customHeight="1" x14ac:dyDescent="0.2">
      <c r="B9" s="61"/>
      <c r="C9" s="56">
        <v>5</v>
      </c>
      <c r="D9" s="57" t="s">
        <v>481</v>
      </c>
      <c r="E9" s="179">
        <v>0.44940210526315794</v>
      </c>
      <c r="F9" s="179">
        <v>0.48377052631578943</v>
      </c>
      <c r="G9" s="58">
        <v>1</v>
      </c>
      <c r="H9" s="61"/>
      <c r="P9" s="60"/>
      <c r="Q9" s="60"/>
    </row>
    <row r="10" spans="1:17" ht="23.25" customHeight="1" x14ac:dyDescent="0.2">
      <c r="B10" s="61"/>
      <c r="C10" s="56">
        <v>6</v>
      </c>
      <c r="D10" s="52" t="s">
        <v>480</v>
      </c>
      <c r="E10" s="177">
        <v>0.44550799999999996</v>
      </c>
      <c r="F10" s="180">
        <v>0.38670600000000005</v>
      </c>
      <c r="G10" s="62">
        <f>+F10/E10</f>
        <v>0.86801134884222075</v>
      </c>
      <c r="H10" s="61"/>
      <c r="P10" s="60"/>
    </row>
    <row r="11" spans="1:17" ht="23.25" customHeight="1" x14ac:dyDescent="0.2">
      <c r="B11" s="61"/>
      <c r="C11" s="56">
        <v>7</v>
      </c>
      <c r="D11" s="57" t="s">
        <v>276</v>
      </c>
      <c r="E11" s="174"/>
      <c r="F11" s="174"/>
      <c r="G11" s="58">
        <v>1</v>
      </c>
      <c r="H11" s="61"/>
    </row>
    <row r="12" spans="1:17" ht="23.25" customHeight="1" x14ac:dyDescent="0.2">
      <c r="B12" s="61"/>
      <c r="C12" s="56">
        <v>8</v>
      </c>
      <c r="D12" s="57" t="s">
        <v>264</v>
      </c>
      <c r="E12" s="175"/>
      <c r="F12" s="174"/>
      <c r="G12" s="58" t="e">
        <f>+F12/E12</f>
        <v>#DIV/0!</v>
      </c>
      <c r="H12" s="61"/>
    </row>
    <row r="13" spans="1:17" ht="24.75" customHeight="1" thickBot="1" x14ac:dyDescent="0.25">
      <c r="B13" s="61"/>
      <c r="C13" s="56">
        <v>9</v>
      </c>
      <c r="D13" s="59" t="s">
        <v>277</v>
      </c>
      <c r="E13" s="181">
        <v>0.28771999999999998</v>
      </c>
      <c r="F13" s="182">
        <v>0.29630470588235291</v>
      </c>
      <c r="G13" s="63">
        <v>1</v>
      </c>
      <c r="H13" s="61"/>
    </row>
    <row r="14" spans="1:17" ht="3" customHeight="1" x14ac:dyDescent="0.2">
      <c r="B14" s="61"/>
      <c r="C14" s="83"/>
      <c r="D14" s="84"/>
      <c r="E14" s="85"/>
      <c r="F14" s="86"/>
      <c r="G14" s="61"/>
      <c r="H14" s="61"/>
      <c r="I14" s="61"/>
    </row>
    <row r="15" spans="1:17" x14ac:dyDescent="0.2">
      <c r="B15" s="61"/>
      <c r="E15" s="52" t="s">
        <v>278</v>
      </c>
      <c r="G15" s="82" t="e">
        <f>AVERAGE(G5:G13)</f>
        <v>#DIV/0!</v>
      </c>
      <c r="H15" s="61"/>
    </row>
    <row r="16" spans="1:17" x14ac:dyDescent="0.2">
      <c r="A16" s="61"/>
      <c r="B16" s="61"/>
      <c r="C16" s="61"/>
      <c r="D16" s="61"/>
      <c r="E16" s="61"/>
      <c r="F16" s="61"/>
      <c r="G16" s="61"/>
      <c r="H16" s="61"/>
      <c r="I16" s="61"/>
      <c r="J16" s="61"/>
      <c r="K16" s="61"/>
      <c r="L16" s="61"/>
      <c r="M16" s="61"/>
      <c r="N16" s="61"/>
      <c r="O16" s="61"/>
    </row>
    <row r="17" spans="1:15" x14ac:dyDescent="0.2">
      <c r="A17" s="61"/>
      <c r="B17" s="61"/>
      <c r="C17" s="61"/>
      <c r="D17" s="61"/>
      <c r="E17" s="61"/>
      <c r="F17" s="61"/>
      <c r="G17" s="61"/>
      <c r="H17" s="61"/>
      <c r="I17" s="61"/>
      <c r="J17" s="61"/>
      <c r="K17" s="61"/>
      <c r="L17" s="61"/>
      <c r="M17" s="61"/>
      <c r="N17" s="61"/>
      <c r="O17" s="61"/>
    </row>
    <row r="18" spans="1:15" x14ac:dyDescent="0.2">
      <c r="A18" s="61"/>
      <c r="B18" s="61"/>
      <c r="C18" s="61"/>
      <c r="D18" s="61"/>
      <c r="E18" s="61"/>
      <c r="F18" s="61"/>
      <c r="G18" s="61"/>
      <c r="H18" s="61"/>
      <c r="I18" s="61"/>
      <c r="J18" s="61"/>
      <c r="K18" s="61"/>
      <c r="L18" s="61"/>
      <c r="M18" s="61"/>
      <c r="N18" s="61"/>
      <c r="O18" s="61"/>
    </row>
    <row r="19" spans="1:15" x14ac:dyDescent="0.2">
      <c r="A19" s="61"/>
      <c r="B19" s="61"/>
      <c r="C19" s="61"/>
      <c r="D19" s="61"/>
      <c r="E19" s="61"/>
      <c r="F19" s="61"/>
      <c r="G19" s="61"/>
      <c r="H19" s="61"/>
      <c r="I19" s="61"/>
      <c r="J19" s="61"/>
      <c r="K19" s="61"/>
      <c r="L19" s="61"/>
      <c r="M19" s="61"/>
      <c r="N19" s="61"/>
      <c r="O19" s="61"/>
    </row>
    <row r="20" spans="1:15" x14ac:dyDescent="0.2">
      <c r="A20" s="61"/>
      <c r="B20" s="61"/>
      <c r="C20" s="61"/>
      <c r="D20" s="61"/>
      <c r="E20" s="61"/>
      <c r="F20" s="61"/>
      <c r="G20" s="61"/>
      <c r="H20" s="61"/>
      <c r="I20" s="61"/>
      <c r="J20" s="61"/>
      <c r="K20" s="61"/>
      <c r="L20" s="61"/>
      <c r="M20" s="61"/>
      <c r="N20" s="61"/>
      <c r="O20" s="61"/>
    </row>
    <row r="21" spans="1:15" x14ac:dyDescent="0.2">
      <c r="A21" s="61"/>
      <c r="B21" s="61"/>
      <c r="C21" s="61"/>
      <c r="D21" s="61"/>
      <c r="E21" s="61"/>
      <c r="F21" s="61"/>
      <c r="G21" s="61"/>
      <c r="H21" s="61"/>
      <c r="I21" s="61"/>
      <c r="J21" s="61"/>
      <c r="K21" s="61"/>
      <c r="L21" s="61"/>
      <c r="M21" s="61"/>
      <c r="N21" s="61"/>
      <c r="O21" s="61"/>
    </row>
    <row r="22" spans="1:15" x14ac:dyDescent="0.2">
      <c r="A22" s="61"/>
      <c r="B22" s="61"/>
      <c r="C22" s="61"/>
      <c r="D22" s="61"/>
      <c r="E22" s="61"/>
      <c r="F22" s="61"/>
      <c r="G22" s="61"/>
      <c r="H22" s="61"/>
      <c r="I22" s="61"/>
      <c r="J22" s="61"/>
      <c r="K22" s="61"/>
      <c r="L22" s="61"/>
      <c r="M22" s="61"/>
      <c r="N22" s="61"/>
      <c r="O22" s="61"/>
    </row>
    <row r="23" spans="1:15" x14ac:dyDescent="0.2">
      <c r="A23" s="61"/>
      <c r="B23" s="61"/>
      <c r="C23" s="61"/>
      <c r="D23" s="61"/>
      <c r="E23" s="61"/>
      <c r="F23" s="61"/>
      <c r="G23" s="61"/>
      <c r="H23" s="61"/>
      <c r="I23" s="61"/>
      <c r="J23" s="61"/>
      <c r="K23" s="61"/>
      <c r="L23" s="61"/>
      <c r="M23" s="61"/>
      <c r="N23" s="61"/>
      <c r="O23" s="61"/>
    </row>
    <row r="24" spans="1:15" x14ac:dyDescent="0.2">
      <c r="A24" s="61"/>
      <c r="B24" s="61"/>
      <c r="C24" s="61"/>
      <c r="D24" s="61"/>
      <c r="E24" s="61"/>
      <c r="F24" s="61"/>
      <c r="G24" s="61"/>
      <c r="H24" s="61"/>
      <c r="I24" s="61"/>
      <c r="J24" s="61"/>
      <c r="K24" s="61"/>
      <c r="L24" s="61"/>
      <c r="M24" s="61"/>
      <c r="N24" s="61"/>
      <c r="O24" s="61"/>
    </row>
    <row r="25" spans="1:15" x14ac:dyDescent="0.2">
      <c r="A25" s="61"/>
      <c r="B25" s="61"/>
      <c r="C25" s="61"/>
      <c r="D25" s="61"/>
      <c r="E25" s="61"/>
      <c r="F25" s="61"/>
      <c r="G25" s="61"/>
      <c r="H25" s="61"/>
      <c r="I25" s="61"/>
      <c r="J25" s="61"/>
      <c r="K25" s="61"/>
      <c r="L25" s="61"/>
      <c r="M25" s="61"/>
      <c r="N25" s="61"/>
      <c r="O25" s="61"/>
    </row>
    <row r="26" spans="1:15" x14ac:dyDescent="0.2">
      <c r="A26" s="61"/>
      <c r="B26" s="61"/>
      <c r="C26" s="61"/>
      <c r="D26" s="61"/>
      <c r="E26" s="61"/>
      <c r="F26" s="61"/>
      <c r="G26" s="61"/>
      <c r="H26" s="61"/>
      <c r="I26" s="61"/>
      <c r="J26" s="61"/>
      <c r="K26" s="61"/>
      <c r="L26" s="61"/>
      <c r="M26" s="61"/>
      <c r="N26" s="61"/>
      <c r="O26" s="61"/>
    </row>
    <row r="27" spans="1:15" x14ac:dyDescent="0.2">
      <c r="A27" s="61"/>
      <c r="B27" s="61"/>
      <c r="C27" s="61"/>
      <c r="D27" s="61"/>
      <c r="E27" s="61"/>
      <c r="F27" s="61"/>
      <c r="G27" s="61"/>
      <c r="H27" s="61"/>
      <c r="I27" s="61"/>
      <c r="J27" s="61"/>
      <c r="K27" s="61"/>
      <c r="L27" s="61"/>
      <c r="M27" s="61"/>
      <c r="N27" s="61"/>
      <c r="O27" s="61"/>
    </row>
    <row r="28" spans="1:15" x14ac:dyDescent="0.2">
      <c r="A28" s="61"/>
      <c r="B28" s="61"/>
      <c r="C28" s="61"/>
      <c r="D28" s="61"/>
      <c r="E28" s="61"/>
      <c r="F28" s="61"/>
      <c r="G28" s="61"/>
      <c r="H28" s="61"/>
      <c r="I28" s="61"/>
      <c r="J28" s="61"/>
      <c r="K28" s="61"/>
      <c r="L28" s="61"/>
      <c r="M28" s="61"/>
      <c r="N28" s="61"/>
      <c r="O28" s="61"/>
    </row>
    <row r="29" spans="1:15" x14ac:dyDescent="0.2">
      <c r="A29" s="61"/>
      <c r="B29" s="61"/>
      <c r="C29" s="61"/>
      <c r="D29" s="61"/>
      <c r="E29" s="61"/>
      <c r="F29" s="61"/>
      <c r="G29" s="61"/>
      <c r="H29" s="61"/>
      <c r="I29" s="61"/>
      <c r="J29" s="61"/>
      <c r="K29" s="61"/>
      <c r="L29" s="61"/>
      <c r="M29" s="61"/>
      <c r="N29" s="61"/>
      <c r="O29" s="61"/>
    </row>
    <row r="30" spans="1:15" x14ac:dyDescent="0.2">
      <c r="A30" s="61"/>
      <c r="B30" s="61"/>
      <c r="C30" s="61"/>
      <c r="D30" s="61"/>
      <c r="E30" s="61"/>
      <c r="F30" s="61"/>
      <c r="G30" s="61"/>
      <c r="H30" s="61"/>
      <c r="I30" s="61"/>
      <c r="J30" s="61"/>
      <c r="K30" s="61"/>
      <c r="L30" s="61"/>
      <c r="M30" s="61"/>
      <c r="N30" s="61"/>
      <c r="O30" s="61"/>
    </row>
    <row r="31" spans="1:15" x14ac:dyDescent="0.2">
      <c r="A31" s="61"/>
      <c r="B31" s="61"/>
      <c r="C31" s="61"/>
      <c r="D31" s="61"/>
      <c r="E31" s="61"/>
      <c r="F31" s="61"/>
      <c r="G31" s="61"/>
      <c r="H31" s="61"/>
      <c r="I31" s="61"/>
      <c r="J31" s="61"/>
      <c r="K31" s="61"/>
      <c r="L31" s="61"/>
      <c r="M31" s="61"/>
      <c r="N31" s="61"/>
      <c r="O31" s="61"/>
    </row>
    <row r="32" spans="1:15" x14ac:dyDescent="0.2">
      <c r="A32" s="61"/>
      <c r="B32" s="61"/>
      <c r="C32" s="61"/>
      <c r="D32" s="61"/>
      <c r="E32" s="61"/>
      <c r="F32" s="61"/>
      <c r="G32" s="61"/>
      <c r="H32" s="61"/>
      <c r="I32" s="61"/>
      <c r="J32" s="61"/>
      <c r="K32" s="61"/>
      <c r="L32" s="61"/>
      <c r="M32" s="61"/>
      <c r="N32" s="61"/>
      <c r="O32" s="61"/>
    </row>
    <row r="33" spans="1:17" x14ac:dyDescent="0.2">
      <c r="A33" s="61"/>
      <c r="B33" s="61"/>
      <c r="C33" s="61"/>
      <c r="D33" s="61"/>
      <c r="E33" s="61"/>
      <c r="F33" s="61"/>
      <c r="G33" s="61"/>
      <c r="H33" s="61"/>
      <c r="I33" s="61"/>
      <c r="J33" s="61"/>
      <c r="K33" s="61"/>
      <c r="L33" s="61"/>
      <c r="M33" s="61"/>
      <c r="N33" s="61"/>
      <c r="O33" s="61"/>
    </row>
    <row r="34" spans="1:17" x14ac:dyDescent="0.2">
      <c r="A34" s="61"/>
      <c r="B34" s="61"/>
      <c r="C34" s="61"/>
      <c r="D34" s="61"/>
      <c r="E34" s="61"/>
      <c r="F34" s="61"/>
      <c r="G34" s="61"/>
      <c r="H34" s="61"/>
      <c r="I34" s="61"/>
      <c r="J34" s="61"/>
      <c r="K34" s="61"/>
      <c r="L34" s="61"/>
      <c r="M34" s="61"/>
      <c r="N34" s="61"/>
      <c r="O34" s="61"/>
    </row>
    <row r="35" spans="1:17" x14ac:dyDescent="0.2">
      <c r="A35" s="61"/>
      <c r="B35" s="61"/>
      <c r="C35" s="61"/>
      <c r="D35" s="61"/>
      <c r="E35" s="61"/>
      <c r="F35" s="61"/>
      <c r="G35" s="61"/>
      <c r="H35" s="61"/>
      <c r="I35" s="61"/>
      <c r="J35" s="61"/>
      <c r="K35" s="61"/>
      <c r="L35" s="61"/>
      <c r="M35" s="61"/>
      <c r="N35" s="61"/>
      <c r="O35" s="61"/>
    </row>
    <row r="36" spans="1:17" x14ac:dyDescent="0.2">
      <c r="A36" s="61"/>
      <c r="B36" s="61"/>
      <c r="C36" s="61"/>
      <c r="D36" s="61"/>
      <c r="E36" s="61"/>
      <c r="F36" s="61"/>
      <c r="G36" s="61"/>
      <c r="H36" s="61"/>
      <c r="I36" s="61"/>
      <c r="J36" s="61"/>
      <c r="K36" s="61"/>
      <c r="L36" s="61"/>
      <c r="M36" s="61"/>
      <c r="N36" s="61"/>
      <c r="O36" s="61"/>
    </row>
    <row r="37" spans="1:17" x14ac:dyDescent="0.2">
      <c r="A37" s="61"/>
      <c r="B37" s="61"/>
      <c r="C37" s="61"/>
      <c r="D37" s="61"/>
      <c r="E37" s="61"/>
      <c r="F37" s="61"/>
      <c r="G37" s="61"/>
      <c r="H37" s="61"/>
      <c r="I37" s="61"/>
      <c r="J37" s="61"/>
      <c r="K37" s="61"/>
      <c r="L37" s="61"/>
      <c r="M37" s="61"/>
      <c r="N37" s="61"/>
      <c r="O37" s="61"/>
    </row>
    <row r="38" spans="1:17" x14ac:dyDescent="0.2">
      <c r="A38" s="61"/>
      <c r="B38" s="61"/>
      <c r="C38" s="61"/>
      <c r="D38" s="61"/>
      <c r="E38" s="61"/>
      <c r="F38" s="61"/>
      <c r="G38" s="61"/>
      <c r="H38" s="61"/>
      <c r="I38" s="61"/>
      <c r="J38" s="61"/>
      <c r="K38" s="61"/>
      <c r="L38" s="61"/>
      <c r="M38" s="61"/>
      <c r="N38" s="61"/>
      <c r="O38" s="61"/>
    </row>
    <row r="39" spans="1:17" x14ac:dyDescent="0.2">
      <c r="A39" s="61"/>
      <c r="B39" s="61"/>
      <c r="C39" s="61"/>
      <c r="D39" s="61"/>
      <c r="E39" s="61"/>
      <c r="F39" s="61"/>
      <c r="G39" s="61"/>
      <c r="H39" s="61"/>
      <c r="I39" s="61"/>
      <c r="J39" s="61"/>
      <c r="K39" s="61"/>
      <c r="L39" s="61"/>
      <c r="M39" s="61"/>
      <c r="N39" s="61"/>
      <c r="O39" s="61"/>
    </row>
    <row r="40" spans="1:17" x14ac:dyDescent="0.2">
      <c r="A40" s="61"/>
      <c r="B40" s="61"/>
      <c r="C40" s="61"/>
      <c r="D40" s="61"/>
      <c r="E40" s="61"/>
      <c r="F40" s="61"/>
      <c r="G40" s="61"/>
      <c r="H40" s="61"/>
      <c r="I40" s="61"/>
      <c r="J40" s="61"/>
      <c r="K40" s="61"/>
      <c r="L40" s="61"/>
      <c r="M40" s="61"/>
      <c r="N40" s="61"/>
      <c r="O40" s="61"/>
    </row>
    <row r="41" spans="1:17" x14ac:dyDescent="0.2">
      <c r="A41" s="61"/>
      <c r="B41" s="61"/>
      <c r="C41" s="61"/>
      <c r="D41" s="61"/>
      <c r="E41" s="61"/>
      <c r="F41" s="61"/>
      <c r="G41" s="61"/>
      <c r="H41" s="61"/>
      <c r="I41" s="61"/>
      <c r="J41" s="61"/>
      <c r="K41" s="61"/>
      <c r="L41" s="61"/>
      <c r="M41" s="61"/>
      <c r="N41" s="61"/>
      <c r="O41" s="61"/>
      <c r="Q41" s="173"/>
    </row>
    <row r="42" spans="1:17" x14ac:dyDescent="0.2">
      <c r="A42" s="61"/>
      <c r="B42" s="61"/>
      <c r="C42" s="61"/>
      <c r="D42" s="61"/>
      <c r="E42" s="61"/>
      <c r="F42" s="61"/>
      <c r="G42" s="61"/>
      <c r="H42" s="61"/>
      <c r="I42" s="61"/>
      <c r="J42" s="61"/>
      <c r="K42" s="61"/>
      <c r="L42" s="61"/>
      <c r="M42" s="61"/>
      <c r="N42" s="61"/>
      <c r="O42" s="61"/>
      <c r="Q42" s="60"/>
    </row>
    <row r="43" spans="1:17" x14ac:dyDescent="0.2">
      <c r="A43" s="61"/>
      <c r="B43" s="61"/>
      <c r="C43" s="61"/>
      <c r="D43" s="61"/>
      <c r="E43" s="61"/>
      <c r="F43" s="61"/>
      <c r="G43" s="61"/>
      <c r="H43" s="61"/>
      <c r="I43" s="61"/>
      <c r="J43" s="61"/>
      <c r="K43" s="61"/>
      <c r="L43" s="61"/>
      <c r="M43" s="61"/>
      <c r="N43" s="61"/>
      <c r="O43" s="61"/>
      <c r="Q43" s="60"/>
    </row>
    <row r="44" spans="1:17" x14ac:dyDescent="0.2">
      <c r="A44" s="61"/>
      <c r="B44" s="61"/>
      <c r="C44" s="61"/>
      <c r="D44" s="61"/>
      <c r="E44" s="61"/>
      <c r="F44" s="61"/>
      <c r="G44" s="61"/>
      <c r="H44" s="61"/>
      <c r="I44" s="61"/>
      <c r="J44" s="61"/>
      <c r="K44" s="61"/>
      <c r="L44" s="61"/>
      <c r="M44" s="61"/>
      <c r="N44" s="61"/>
      <c r="O44" s="61"/>
    </row>
    <row r="45" spans="1:17" x14ac:dyDescent="0.2">
      <c r="A45" s="61"/>
      <c r="B45" s="61"/>
      <c r="C45" s="61"/>
      <c r="D45" s="61"/>
      <c r="E45" s="61"/>
      <c r="F45" s="61"/>
      <c r="G45" s="61"/>
      <c r="H45" s="61"/>
      <c r="I45" s="61"/>
      <c r="J45" s="61"/>
      <c r="K45" s="61"/>
      <c r="L45" s="61"/>
      <c r="M45" s="61"/>
      <c r="N45" s="61"/>
      <c r="O45" s="61"/>
    </row>
    <row r="46" spans="1:17" x14ac:dyDescent="0.2">
      <c r="A46" s="61"/>
      <c r="B46" s="61"/>
      <c r="C46" s="61"/>
      <c r="D46" s="61"/>
      <c r="E46" s="61"/>
      <c r="F46" s="61"/>
      <c r="G46" s="61"/>
      <c r="H46" s="61"/>
      <c r="I46" s="61"/>
      <c r="J46" s="61"/>
      <c r="K46" s="61"/>
      <c r="L46" s="61"/>
      <c r="M46" s="61"/>
      <c r="N46" s="61"/>
      <c r="O46" s="61"/>
    </row>
    <row r="47" spans="1:17" x14ac:dyDescent="0.2">
      <c r="A47" s="61"/>
      <c r="B47" s="61"/>
      <c r="C47" s="61"/>
      <c r="D47" s="61"/>
      <c r="E47" s="61"/>
      <c r="F47" s="61"/>
      <c r="G47" s="61"/>
      <c r="H47" s="61"/>
      <c r="I47" s="61"/>
      <c r="J47" s="61"/>
      <c r="K47" s="61"/>
      <c r="L47" s="61"/>
      <c r="M47" s="61"/>
      <c r="N47" s="61"/>
      <c r="O47" s="61"/>
    </row>
    <row r="48" spans="1:17" x14ac:dyDescent="0.2">
      <c r="A48" s="61"/>
      <c r="B48" s="61"/>
      <c r="C48" s="61"/>
      <c r="D48" s="61"/>
      <c r="E48" s="61"/>
      <c r="F48" s="61"/>
      <c r="G48" s="61"/>
      <c r="H48" s="61"/>
      <c r="I48" s="61"/>
      <c r="J48" s="61"/>
      <c r="K48" s="61"/>
      <c r="L48" s="61"/>
      <c r="M48" s="61"/>
      <c r="N48" s="61"/>
      <c r="O48" s="61"/>
    </row>
    <row r="49" spans="1:15" x14ac:dyDescent="0.2">
      <c r="A49" s="61"/>
      <c r="B49" s="61"/>
      <c r="C49" s="61"/>
      <c r="D49" s="61"/>
      <c r="E49" s="61"/>
      <c r="F49" s="61"/>
      <c r="G49" s="61"/>
      <c r="H49" s="61"/>
      <c r="I49" s="61"/>
      <c r="J49" s="61"/>
      <c r="K49" s="61"/>
      <c r="L49" s="61"/>
      <c r="M49" s="61"/>
      <c r="N49" s="61"/>
      <c r="O49" s="61"/>
    </row>
    <row r="50" spans="1:15" x14ac:dyDescent="0.2">
      <c r="A50" s="61"/>
      <c r="B50" s="61"/>
      <c r="C50" s="61"/>
      <c r="D50" s="61"/>
      <c r="E50" s="61"/>
      <c r="F50" s="61"/>
      <c r="G50" s="61"/>
      <c r="H50" s="61"/>
      <c r="I50" s="61"/>
      <c r="J50" s="61"/>
      <c r="K50" s="61"/>
      <c r="L50" s="61"/>
      <c r="M50" s="61"/>
      <c r="N50" s="61"/>
      <c r="O50" s="61"/>
    </row>
    <row r="51" spans="1:15" ht="30" customHeight="1" x14ac:dyDescent="0.2">
      <c r="A51" s="61"/>
      <c r="B51" s="61"/>
      <c r="C51" s="94" t="s">
        <v>296</v>
      </c>
      <c r="D51" s="404" t="s">
        <v>297</v>
      </c>
      <c r="E51" s="404"/>
      <c r="F51" s="404"/>
      <c r="G51" s="404"/>
      <c r="H51" s="404"/>
      <c r="I51" s="404"/>
      <c r="J51" s="404"/>
      <c r="K51" s="404"/>
      <c r="L51" s="404"/>
      <c r="M51" s="404"/>
      <c r="N51" s="404"/>
      <c r="O51" s="404"/>
    </row>
    <row r="52" spans="1:15" x14ac:dyDescent="0.2">
      <c r="A52" s="61"/>
      <c r="B52" s="61"/>
      <c r="C52" s="61"/>
      <c r="D52" s="61"/>
      <c r="E52" s="61"/>
      <c r="F52" s="61"/>
      <c r="G52" s="61"/>
      <c r="H52" s="61"/>
      <c r="I52" s="61"/>
      <c r="J52" s="61"/>
      <c r="K52" s="61"/>
      <c r="L52" s="61"/>
      <c r="M52" s="61"/>
      <c r="N52" s="61"/>
      <c r="O52" s="61"/>
    </row>
  </sheetData>
  <mergeCells count="2">
    <mergeCell ref="C2:G2"/>
    <mergeCell ref="D51:O51"/>
  </mergeCells>
  <conditionalFormatting sqref="G5:G13">
    <cfRule type="cellIs" dxfId="2" priority="4" stopIfTrue="1" operator="greaterThanOrEqual">
      <formula>80.01%</formula>
    </cfRule>
    <cfRule type="cellIs" dxfId="1" priority="5" stopIfTrue="1" operator="between">
      <formula>0.501</formula>
      <formula>0.8</formula>
    </cfRule>
    <cfRule type="cellIs" dxfId="0" priority="6" stopIfTrue="1" operator="lessThanOrEqual">
      <formula>0.5</formula>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Matriz OE seguimiento jul.y ago</vt:lpstr>
      <vt:lpstr>Resultados sept.-dic.2018</vt:lpstr>
      <vt:lpstr>promedio trimestre sept.dic</vt:lpstr>
      <vt:lpstr>'Matriz OE seguimiento jul.y ago'!Área_de_impresión</vt:lpstr>
      <vt:lpstr>'Resultados sept.-dic.2018'!Área_de_impresión</vt:lpstr>
      <vt:lpstr>'Matriz OE seguimiento jul.y ago'!Títulos_a_imprimir</vt:lpstr>
      <vt:lpstr>'Resultados sept.-dic.2018'!Títulos_a_imprimir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I. Serrano Quintanilla</dc:creator>
  <cp:lastModifiedBy>Julio I. Serrano Quintanilla</cp:lastModifiedBy>
  <cp:lastPrinted>2019-04-11T15:36:50Z</cp:lastPrinted>
  <dcterms:created xsi:type="dcterms:W3CDTF">2017-02-27T16:12:50Z</dcterms:created>
  <dcterms:modified xsi:type="dcterms:W3CDTF">2019-04-24T20:58:39Z</dcterms:modified>
</cp:coreProperties>
</file>