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695"/>
  </bookViews>
  <sheets>
    <sheet name="Matriz OE seguimiento TIV" sheetId="17" r:id="rId1"/>
  </sheets>
  <definedNames>
    <definedName name="_xlnm._FilterDatabase" localSheetId="0" hidden="1">'Matriz OE seguimiento TIV'!$G$7:$I$67</definedName>
    <definedName name="_xlnm.Print_Area" localSheetId="0">'Matriz OE seguimiento TIV'!$A$1:$T$82</definedName>
    <definedName name="_xlnm.Print_Titles" localSheetId="0">'Matriz OE seguimiento TIV'!$2:$8</definedName>
  </definedNames>
  <calcPr calcId="152511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17"/>
  <c r="R9"/>
  <c r="R69" l="1"/>
  <c r="Q69"/>
  <c r="P69"/>
  <c r="R67"/>
  <c r="Q67"/>
  <c r="P67"/>
  <c r="R66"/>
  <c r="Q66"/>
  <c r="P66"/>
  <c r="R65"/>
  <c r="Q65"/>
  <c r="P65"/>
  <c r="R64"/>
  <c r="Q64"/>
  <c r="P64"/>
  <c r="S63"/>
  <c r="P63"/>
  <c r="R62"/>
  <c r="Q62"/>
  <c r="P62"/>
  <c r="R61"/>
  <c r="S61" s="1"/>
  <c r="R60"/>
  <c r="Q60"/>
  <c r="P60"/>
  <c r="S59"/>
  <c r="R58"/>
  <c r="S58" s="1"/>
  <c r="P58"/>
  <c r="S57"/>
  <c r="P57"/>
  <c r="R56"/>
  <c r="Q56"/>
  <c r="P56"/>
  <c r="R55"/>
  <c r="S55" s="1"/>
  <c r="R54"/>
  <c r="Q54"/>
  <c r="P54"/>
  <c r="R53"/>
  <c r="Q53"/>
  <c r="P53"/>
  <c r="R52"/>
  <c r="S52" s="1"/>
  <c r="Q51"/>
  <c r="O51"/>
  <c r="R51" s="1"/>
  <c r="R50"/>
  <c r="Q50"/>
  <c r="P50"/>
  <c r="R49"/>
  <c r="S49" s="1"/>
  <c r="R48"/>
  <c r="S48" s="1"/>
  <c r="P48"/>
  <c r="S47"/>
  <c r="P47"/>
  <c r="R46"/>
  <c r="S46" s="1"/>
  <c r="N45"/>
  <c r="P45" s="1"/>
  <c r="R44"/>
  <c r="Q44"/>
  <c r="P44"/>
  <c r="R43"/>
  <c r="Q43"/>
  <c r="P43"/>
  <c r="R42"/>
  <c r="Q42"/>
  <c r="P42"/>
  <c r="R41"/>
  <c r="Q41"/>
  <c r="P41"/>
  <c r="R38"/>
  <c r="S38" s="1"/>
  <c r="R37"/>
  <c r="S37" s="1"/>
  <c r="Q36"/>
  <c r="O36"/>
  <c r="R36" s="1"/>
  <c r="R35"/>
  <c r="Q35"/>
  <c r="P35"/>
  <c r="R34"/>
  <c r="Q34"/>
  <c r="S33"/>
  <c r="R32"/>
  <c r="S32" s="1"/>
  <c r="R31"/>
  <c r="Q31"/>
  <c r="P31"/>
  <c r="R30"/>
  <c r="S30" s="1"/>
  <c r="R29"/>
  <c r="Q29"/>
  <c r="P29"/>
  <c r="R28"/>
  <c r="Q28"/>
  <c r="P28"/>
  <c r="S27"/>
  <c r="P27"/>
  <c r="S26"/>
  <c r="P26"/>
  <c r="S25"/>
  <c r="R24"/>
  <c r="Q24"/>
  <c r="P24"/>
  <c r="R23"/>
  <c r="Q23"/>
  <c r="P23"/>
  <c r="R16"/>
  <c r="Q16"/>
  <c r="P16"/>
  <c r="R15"/>
  <c r="Q15"/>
  <c r="P15"/>
  <c r="R14"/>
  <c r="Q14"/>
  <c r="P14"/>
  <c r="R13"/>
  <c r="Q13"/>
  <c r="P13"/>
  <c r="R11"/>
  <c r="Q11"/>
  <c r="P11"/>
  <c r="R10"/>
  <c r="Q10"/>
  <c r="P10"/>
  <c r="Q9"/>
  <c r="P9"/>
  <c r="S11" l="1"/>
  <c r="S14"/>
  <c r="S16"/>
  <c r="S24"/>
  <c r="S29"/>
  <c r="S69"/>
  <c r="S31"/>
  <c r="S35"/>
  <c r="S36"/>
  <c r="S42"/>
  <c r="S50"/>
  <c r="S51"/>
  <c r="S54"/>
  <c r="S56"/>
  <c r="S60"/>
  <c r="S62"/>
  <c r="S44"/>
  <c r="P51"/>
  <c r="S53"/>
  <c r="S65"/>
  <c r="S67"/>
  <c r="S9"/>
  <c r="S10"/>
  <c r="S13"/>
  <c r="S15"/>
  <c r="S23"/>
  <c r="S28"/>
  <c r="S34"/>
  <c r="P36"/>
  <c r="S41"/>
  <c r="S43"/>
  <c r="S64"/>
  <c r="S66"/>
  <c r="Q45"/>
  <c r="S45" s="1"/>
</calcChain>
</file>

<file path=xl/sharedStrings.xml><?xml version="1.0" encoding="utf-8"?>
<sst xmlns="http://schemas.openxmlformats.org/spreadsheetml/2006/main" count="272" uniqueCount="230">
  <si>
    <t>PLANEACIÓN ESTRATÉGICA 2015 - 2019</t>
  </si>
  <si>
    <t>OBJETIVOS INSTITUCIONALES</t>
  </si>
  <si>
    <t>OBJETIVOS ESTRATÉGICOS POR UNIDAD ORGANIZATIVA</t>
  </si>
  <si>
    <t>Objetivo PQD</t>
  </si>
  <si>
    <t>Objetivos Institucionales</t>
  </si>
  <si>
    <t>Perspectiva</t>
  </si>
  <si>
    <t xml:space="preserve"> Objetivos Estratégicos</t>
  </si>
  <si>
    <t>Indicadores</t>
  </si>
  <si>
    <t>Unidad de Medida</t>
  </si>
  <si>
    <t>CÓD.</t>
  </si>
  <si>
    <t>Nombre</t>
  </si>
  <si>
    <t>Código</t>
  </si>
  <si>
    <t>Objetivo 5. Acelerar el tránsito hacia una sociedad equitativa e incluyente.</t>
  </si>
  <si>
    <t>Contribuir al desarrollo social del país, Expansión  comercial a nivel nacional y Diversificar e innovar en juegos de azar.</t>
  </si>
  <si>
    <t>Impacto Financiero y Social   (35%)</t>
  </si>
  <si>
    <t xml:space="preserve">Incrementar las utilidades de operación de forma sostenible. </t>
  </si>
  <si>
    <t>Incremento de utilidades en relación al ejercicio anterior</t>
  </si>
  <si>
    <t>Elaborar y presentar Informes Financieros.</t>
  </si>
  <si>
    <t>UFI-0201</t>
  </si>
  <si>
    <t>US$</t>
  </si>
  <si>
    <t>UFI-0202</t>
  </si>
  <si>
    <t>Administrar de forma eficiente los recursos.</t>
  </si>
  <si>
    <t>ROS (Rentabilidad sobre las ventas)</t>
  </si>
  <si>
    <t>Administrar eficientemente los recursos financieros de la LNB, cumpliendo con las normas establecidas.</t>
  </si>
  <si>
    <t>UFI-0101</t>
  </si>
  <si>
    <t>ROA (Utilidad sobre activo total)</t>
  </si>
  <si>
    <t>Ahorro en costos operativos</t>
  </si>
  <si>
    <t>Verificar el cumplimiento de la PAA 2017 de la LNB.</t>
  </si>
  <si>
    <t>AIN-0101</t>
  </si>
  <si>
    <t>Cantidad</t>
  </si>
  <si>
    <t>Incrementar el aporte y la cobertura a la contribución social al Estado.</t>
  </si>
  <si>
    <t>Porcentaje de contribución al desarrollo social.</t>
  </si>
  <si>
    <t>Aportar al desarrollo social a través del programa de Lotería en Acción.</t>
  </si>
  <si>
    <t>GOT-0501</t>
  </si>
  <si>
    <t>Número de instituciones beneficiadas  durante el 2017.</t>
  </si>
  <si>
    <t>Número de instituciones beneficiadas</t>
  </si>
  <si>
    <t>GOT-0502</t>
  </si>
  <si>
    <t>Clientes (25%)</t>
  </si>
  <si>
    <t>Porcentaje de satisfacción del cliente sobre la accesibilidad de los productos.</t>
  </si>
  <si>
    <t>Realizar estudios y sondeo de mercado.</t>
  </si>
  <si>
    <t>GCO-0401</t>
  </si>
  <si>
    <t>Número de estudios realizados.</t>
  </si>
  <si>
    <t xml:space="preserve">Porcentaje de  aceptación de  juegos de azar </t>
  </si>
  <si>
    <t>Nivel de compra.</t>
  </si>
  <si>
    <t>Porcentaje de avance en el desarrollo de cultura de juego.</t>
  </si>
  <si>
    <t>Percepción de la imagen de la ciudadanía</t>
  </si>
  <si>
    <t>Nivel de satisfacción de vendedores y consumidores finales.</t>
  </si>
  <si>
    <t>Número de consumidores potenciales convertidos a consumidor final</t>
  </si>
  <si>
    <t>Procesos Internos (20%)</t>
  </si>
  <si>
    <t>Gestionar las reformas del marco regulatorio de la LNB.</t>
  </si>
  <si>
    <t>Seguimiento a reformas a Ley Orgánica y Reglamento de la LNB.</t>
  </si>
  <si>
    <t>UTL-0101</t>
  </si>
  <si>
    <t>Grado de avance  en gestión realizadas.</t>
  </si>
  <si>
    <t>Porcentaje</t>
  </si>
  <si>
    <t>Mejorar los procesos para aumentar los resultados de la LNB.</t>
  </si>
  <si>
    <t xml:space="preserve">Porcentaje de avance en la mejora de los procesos de LNB. </t>
  </si>
  <si>
    <t>Ordenar y documentar los procesos/subprocesos de la LNB.</t>
  </si>
  <si>
    <t>UPE-0101</t>
  </si>
  <si>
    <t>Porcentaje de avance en el ordenamiento y documentación de los procesos.</t>
  </si>
  <si>
    <t>Sistematizar el Seguimiento y evaluación de la planificación  institucional.</t>
  </si>
  <si>
    <t>UPE-0201</t>
  </si>
  <si>
    <t xml:space="preserve">Porcentaje de avance en la implantación del sistema. </t>
  </si>
  <si>
    <t>Incrementar los niveles de ventas de productos de Lotería.</t>
  </si>
  <si>
    <t>Lograr la meta de venta mensual de productos de Lotería.</t>
  </si>
  <si>
    <t>GCO-0501</t>
  </si>
  <si>
    <t>% de cumplimiento de venta</t>
  </si>
  <si>
    <t>GCO-0502</t>
  </si>
  <si>
    <t>GCO-0601</t>
  </si>
  <si>
    <t>Número de promociones implementadas para Vendedores</t>
  </si>
  <si>
    <t>GCO-0701</t>
  </si>
  <si>
    <t>Número de activaciones de productos lanzadas.</t>
  </si>
  <si>
    <t>Actualizar  normativa  para la Administración de los créditos</t>
  </si>
  <si>
    <t>GOT-0601</t>
  </si>
  <si>
    <t>Desarrollo contínuo e innovación  de juegos de azar.</t>
  </si>
  <si>
    <t>Desarrollar  propuesta de nuevos juegos de Lotería, bajo la legislación actual.</t>
  </si>
  <si>
    <t>GCO-0101</t>
  </si>
  <si>
    <t>Número de Nuevos  juegos de Lotería.</t>
  </si>
  <si>
    <t xml:space="preserve">Mejorar los productos de Lotería existentes. </t>
  </si>
  <si>
    <t>GCO-0201</t>
  </si>
  <si>
    <t>Mejoras  a  de productos Lotería Tradicional autorizados.</t>
  </si>
  <si>
    <t>GCO-0202</t>
  </si>
  <si>
    <t>Mejoras  a   productos Lotería Instantánea autorizados.</t>
  </si>
  <si>
    <t>Expandir la cobertura de los Productos de Lotería a nivel Nacional.</t>
  </si>
  <si>
    <t>Número de Canales Aprobados.</t>
  </si>
  <si>
    <t>Incrementar la fuerza de ventas</t>
  </si>
  <si>
    <t>GCO-0901</t>
  </si>
  <si>
    <t>Número de  nuevos  puntos de ventas aperturados.</t>
  </si>
  <si>
    <t>GCO-0903</t>
  </si>
  <si>
    <t>Número de nuevos agentes vendedores reclutados.</t>
  </si>
  <si>
    <t>GCO-0902</t>
  </si>
  <si>
    <t>Número de Agencias Aperturadas.</t>
  </si>
  <si>
    <t>GCO-1001</t>
  </si>
  <si>
    <t>Sostenimiento de Canales existentes</t>
  </si>
  <si>
    <t>Implementar mecanismos  para mejorar  el servicio al cliente en agencias, puntos de venta y kioscos.</t>
  </si>
  <si>
    <t>GCO-0801</t>
  </si>
  <si>
    <t>Sostenimiento de  puntos de ventas aperturados</t>
  </si>
  <si>
    <t>Número de acciones  desarrolladas.</t>
  </si>
  <si>
    <t>Número de proyectos ejecutados.</t>
  </si>
  <si>
    <t>Realizar campañas publicitarias que mejoren la imagen institucional.</t>
  </si>
  <si>
    <t>COM-0101</t>
  </si>
  <si>
    <t xml:space="preserve">Número de campañas Publicitarias realizadas.  </t>
  </si>
  <si>
    <t xml:space="preserve">Cantidad </t>
  </si>
  <si>
    <t>Fortalecer  el sistema de comunicación que contribuya a la promoción de la imagen Institucional.</t>
  </si>
  <si>
    <t>COM-0201</t>
  </si>
  <si>
    <t>% de avance</t>
  </si>
  <si>
    <t>Realizar campañas publicitarias  para promoción de productos de lotería.</t>
  </si>
  <si>
    <t>GCO-0301</t>
  </si>
  <si>
    <t>Número de Campañas Publicitarias de LOTRA lanzadas.</t>
  </si>
  <si>
    <t>GCO-0302</t>
  </si>
  <si>
    <t>Número  de Campañas Publicitarias de Lotin lanzadas.</t>
  </si>
  <si>
    <t>Modernizar los sistemas informáticos de la LNB</t>
  </si>
  <si>
    <t>Grado de avance en la actualización del equipo</t>
  </si>
  <si>
    <t>Mantener en operación el  sistema comercial de la LNB.</t>
  </si>
  <si>
    <t>GOT-0102</t>
  </si>
  <si>
    <t>Migrar servidor de aplicaciones del sistema comercial y sorteo LNB.</t>
  </si>
  <si>
    <t>Grado de avance en la actualización del Software.</t>
  </si>
  <si>
    <t>GOT-0101</t>
  </si>
  <si>
    <t>Migrar base de datos del sistema comercial y sorteo LNB.</t>
  </si>
  <si>
    <t>GOT-0103</t>
  </si>
  <si>
    <t>Efectividad contra  intentos de intrusión a los sistemas de la LNB.</t>
  </si>
  <si>
    <t>Porcentaje efectividad</t>
  </si>
  <si>
    <t>GOT-0104</t>
  </si>
  <si>
    <t>GOT-0201</t>
  </si>
  <si>
    <t>Sitio de contingencia  de TI implementado</t>
  </si>
  <si>
    <t>GOT-0301</t>
  </si>
  <si>
    <t>Implementar solución de respaldo y restauración de información</t>
  </si>
  <si>
    <t>GOT-0401</t>
  </si>
  <si>
    <t>Porcentaje de Avance en la automatización de los procesos</t>
  </si>
  <si>
    <t>Desarrollar acciones en el marco de la política de participación ciudadana para transparentar la gestión pública de la LNB.</t>
  </si>
  <si>
    <t>Número de acciones realizadas</t>
  </si>
  <si>
    <t>Ejecutar capacitaciones sobre  servicio público y participación ciudadana.</t>
  </si>
  <si>
    <t>GRH-0201</t>
  </si>
  <si>
    <t>Número de acciones ejecutadas</t>
  </si>
  <si>
    <t>Implementar espacios y  mecanismos de participación  a los agentes vendedores de productos  de lotería.</t>
  </si>
  <si>
    <t>GCO-1201</t>
  </si>
  <si>
    <t>Número de reuniones efectuadas</t>
  </si>
  <si>
    <t>Participar activamente en los Gabinetes de Gestión Departamental.</t>
  </si>
  <si>
    <t>GCO-1301</t>
  </si>
  <si>
    <t>Número de reuniones asistidas</t>
  </si>
  <si>
    <t>Promover  el emprendedurismo  a través de la  venta de productos de lotería</t>
  </si>
  <si>
    <t>GCO-1401</t>
  </si>
  <si>
    <t>Proporcionar la información pública y atención de quejas/avisos.</t>
  </si>
  <si>
    <t>UAIP-0101</t>
  </si>
  <si>
    <t>Número de quejas y avisos atendidas.</t>
  </si>
  <si>
    <t>UAIP-0102</t>
  </si>
  <si>
    <t xml:space="preserve">Tiempo de respuesta a las Solicitudes. </t>
  </si>
  <si>
    <t>Número de días de tiempo de respuestas</t>
  </si>
  <si>
    <t>UAIP-0103</t>
  </si>
  <si>
    <t>Porcentaje  de  avance en el cumplimiento de estándares en portal de transparencia.</t>
  </si>
  <si>
    <t>% de cumplimiento</t>
  </si>
  <si>
    <t>Efectuar la Rendición de Cuentas de la gestión de la LNB.</t>
  </si>
  <si>
    <t>UAIP-0201</t>
  </si>
  <si>
    <t>Porcentaje de avance en la   Rendición de Cuentas.</t>
  </si>
  <si>
    <t>% de Avance</t>
  </si>
  <si>
    <t>Implementar plan que promueva el uso de tecnologías  para el desarrollo de Espacios o Mecanismos de participación.</t>
  </si>
  <si>
    <t>COM-0301</t>
  </si>
  <si>
    <t>Número de personas que utilizaron las TIC´s en los procesos de participación ciudadana.</t>
  </si>
  <si>
    <t>Divulgar los mecanismos y espacios de participación ciudadana y las formas de acceder a ellos.</t>
  </si>
  <si>
    <t>COM-0401</t>
  </si>
  <si>
    <t>Porcentaje de avance  en  la divulgación de mecanismos de participación ciudadana.</t>
  </si>
  <si>
    <t>%  de Avances</t>
  </si>
  <si>
    <t>Realizar sorteos  itinerantes  en lugares públicos para acércanos a la ciudadanía en general.</t>
  </si>
  <si>
    <t>GAD-0101</t>
  </si>
  <si>
    <t>Número de ciudadanos  asistentes  por sorteo.</t>
  </si>
  <si>
    <t>GAD-0102</t>
  </si>
  <si>
    <t>Fallas presentadas en la realización de cada sorteo.</t>
  </si>
  <si>
    <t>% de funcionamiento del sorteo</t>
  </si>
  <si>
    <t>Administrar  la Gestión Documental y archivo de la LNB</t>
  </si>
  <si>
    <t>GAD-0201</t>
  </si>
  <si>
    <t>Porcentaje de avance en la implementación de la Gestión Documental y archivo.</t>
  </si>
  <si>
    <t>Aprendizaje y Desarrollo del 
Recurso Humano (20%)</t>
  </si>
  <si>
    <t>Potenciar el talento humano a través de la formación continua e inclusiva.</t>
  </si>
  <si>
    <t xml:space="preserve">Porcentaje de empleados capacitados </t>
  </si>
  <si>
    <t>Ejecutar un Plan de Capacitación Continua e Inclusiva.</t>
  </si>
  <si>
    <t>GRH-0101</t>
  </si>
  <si>
    <t xml:space="preserve">Porcentaje de avance en la satisfacción del recurso humano sobre el clima y práctica de valores. </t>
  </si>
  <si>
    <t>Ejecutar un plan de acciones orientadas a llevar a un 70%, el Índice de satisfacción  interno respecto a la práctica de Valores y el clima laboral.</t>
  </si>
  <si>
    <t>GRH-0301</t>
  </si>
  <si>
    <t>Índice de Satisfacción</t>
  </si>
  <si>
    <t xml:space="preserve">% de satisfacción </t>
  </si>
  <si>
    <t>Generar una cultura y conocimiento en la industria del juego.</t>
  </si>
  <si>
    <t>Grado de avance en la cultura de industria  juego de azar.</t>
  </si>
  <si>
    <t>Desarrollar acciones  para dar a conocer  los juegos de azar</t>
  </si>
  <si>
    <t>GCO-1101</t>
  </si>
  <si>
    <t xml:space="preserve">%  de Avance </t>
  </si>
  <si>
    <t>Motivar a los vendedores y consumidor final a la compra de los productos de Lotería y desarrollar cultura de juego.</t>
  </si>
  <si>
    <t>Posicionar en la opinión pública una imagen de credibilidad y confianza.</t>
  </si>
  <si>
    <t>Acercar los productos de lotería al consumidor final.</t>
  </si>
  <si>
    <t>Fidelizar nuestros vendedores, canales,  puntos de venta y consumidores finales.</t>
  </si>
  <si>
    <t>Fortalecer la imagen institucional y comercial.</t>
  </si>
  <si>
    <t>Promover la Práctica de Valores,  clima laboral y una  actitud de compromiso del personal con la institución.</t>
  </si>
  <si>
    <t>INFORME DE SEGUIMIENTO A OBJETIVOS E INDICADORES ESTRATÉGICOS, AÑO  2017</t>
  </si>
  <si>
    <t>Realizar  activaciones de productos en todo el territorio nacional orientadas a incentivar al consumidor final.</t>
  </si>
  <si>
    <t>Número de nuevos agentes vendedores inscritos.</t>
  </si>
  <si>
    <t>Número de Nuevos puntos de venta abiertos.</t>
  </si>
  <si>
    <t>Número de nuevos Canales abiertos.</t>
  </si>
  <si>
    <t>Ampliar la cobertura de puntos de venta en todo el país.</t>
  </si>
  <si>
    <t>Porcentaje de avance  en la  implementación del sistema de comunicación interna y externa.</t>
  </si>
  <si>
    <t>Implementar sitio de contingencia de TI.</t>
  </si>
  <si>
    <t>Efectividad contra infecciones a los sistemas de la LNB.</t>
  </si>
  <si>
    <t>Automatizar  algunos procesos de las diferentes áreas.</t>
  </si>
  <si>
    <t>Realizar promociones para vendedores  para incentivar  las ventas.</t>
  </si>
  <si>
    <t>Fortalecer la capacidad de restablecimiento de sistemas ante pérdida de información.</t>
  </si>
  <si>
    <t>Número de personas beneficiadas.</t>
  </si>
  <si>
    <t>Nivel de avance de la aprobación de las reformas del marco legal.</t>
  </si>
  <si>
    <t>Porcentaje de incrementos en ventas de productos de lotería.</t>
  </si>
  <si>
    <t>Porcentaje de efectividad de los nuevos juegos lanzados e innovados.</t>
  </si>
  <si>
    <t>Efectividad en campañas publicitarias.</t>
  </si>
  <si>
    <t>Número de acciones  ejecutadas.</t>
  </si>
  <si>
    <t>Nuevas agencias inauguradas en el 2017.</t>
  </si>
  <si>
    <t>Número de personas beneficiadas con el programa en el 2017.</t>
  </si>
  <si>
    <t>Rentabilidad sobre la disponibilidad.</t>
  </si>
  <si>
    <t>Utilidades generadas por LOTIN.</t>
  </si>
  <si>
    <t>Utilidades generadas por LOTRA.</t>
  </si>
  <si>
    <t>Normativa de crédito autorizada.</t>
  </si>
  <si>
    <t>Número de empleados capacitados.</t>
  </si>
  <si>
    <t>Número de acciones realizadas.</t>
  </si>
  <si>
    <t>GAD-0202</t>
  </si>
  <si>
    <t>Porcentaje de avance en la implementación del Sistema Institucional de Archivo</t>
  </si>
  <si>
    <t>100%  de  venta de libretas.</t>
  </si>
  <si>
    <t>70%   de Venta de billetes.</t>
  </si>
  <si>
    <t xml:space="preserve">Resultados: Cuarto Trimestre 2017 </t>
  </si>
  <si>
    <t xml:space="preserve">Acumulado al:  Cuarto Trimestre 2017 </t>
  </si>
  <si>
    <t>TRIMESTRE QUE SE INFORMA: CUARTO TRIMESTRE DE 2017</t>
  </si>
  <si>
    <t>Número de exámenes de auditoria realizados.</t>
  </si>
  <si>
    <t xml:space="preserve">Programado Cuarto Trimestre </t>
  </si>
  <si>
    <t>Ejecutado Cuarto Trimestre</t>
  </si>
  <si>
    <t xml:space="preserve">Programado al Cuarto Trimestre </t>
  </si>
  <si>
    <t>Ejecutado al Cuarto Trimestre</t>
  </si>
  <si>
    <t>Objetivos Estratégicos (PEI)</t>
  </si>
</sst>
</file>

<file path=xl/styles.xml><?xml version="1.0" encoding="utf-8"?>
<styleSheet xmlns="http://schemas.openxmlformats.org/spreadsheetml/2006/main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0.0%"/>
    <numFmt numFmtId="168" formatCode="_(&quot;$&quot;* #,##0_);_(&quot;$&quot;* \(#,##0\);_(&quot;$&quot;* &quot;-&quot;??_);_(@_)"/>
    <numFmt numFmtId="169" formatCode="0.000"/>
    <numFmt numFmtId="170" formatCode="_(&quot;$&quot;* #,##0.0_);_(&quot;$&quot;* \(#,##0.0\);_(&quot;$&quot;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7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15"/>
      <name val="Arial"/>
      <family val="2"/>
    </font>
    <font>
      <b/>
      <sz val="13"/>
      <name val="Calibri"/>
      <family val="2"/>
    </font>
    <font>
      <sz val="15"/>
      <color rgb="FF0070C0"/>
      <name val="Arial"/>
      <family val="2"/>
    </font>
    <font>
      <b/>
      <sz val="18"/>
      <name val="Calibri"/>
      <family val="2"/>
      <scheme val="minor"/>
    </font>
    <font>
      <b/>
      <sz val="22"/>
      <name val="Calibri"/>
      <family val="2"/>
      <scheme val="minor"/>
    </font>
    <font>
      <sz val="22"/>
      <name val="Calibri"/>
      <family val="2"/>
    </font>
    <font>
      <sz val="10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0"/>
  </cellStyleXfs>
  <cellXfs count="16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justify" vertical="center"/>
    </xf>
    <xf numFmtId="0" fontId="2" fillId="0" borderId="0" xfId="0" applyFont="1"/>
    <xf numFmtId="0" fontId="5" fillId="2" borderId="0" xfId="0" applyFont="1" applyFill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9" fontId="12" fillId="2" borderId="0" xfId="0" applyNumberFormat="1" applyFont="1" applyFill="1" applyBorder="1" applyAlignment="1">
      <alignment horizontal="center" vertical="center" wrapText="1"/>
    </xf>
    <xf numFmtId="9" fontId="12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 applyBorder="1" applyAlignment="1">
      <alignment horizontal="center" vertical="center" wrapText="1"/>
    </xf>
    <xf numFmtId="9" fontId="14" fillId="2" borderId="0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Border="1" applyAlignment="1">
      <alignment horizontal="center" vertical="center" wrapText="1"/>
    </xf>
    <xf numFmtId="9" fontId="12" fillId="2" borderId="0" xfId="3" applyFont="1" applyFill="1" applyBorder="1" applyAlignment="1">
      <alignment horizontal="center" vertical="center" wrapText="1"/>
    </xf>
    <xf numFmtId="9" fontId="12" fillId="0" borderId="0" xfId="3" applyFont="1" applyFill="1" applyBorder="1" applyAlignment="1">
      <alignment horizontal="center" vertical="center" wrapText="1"/>
    </xf>
    <xf numFmtId="9" fontId="14" fillId="2" borderId="0" xfId="3" applyFont="1" applyFill="1" applyBorder="1" applyAlignment="1">
      <alignment horizontal="center" vertical="center" wrapText="1"/>
    </xf>
    <xf numFmtId="9" fontId="14" fillId="0" borderId="0" xfId="3" applyFont="1" applyFill="1" applyBorder="1" applyAlignment="1">
      <alignment horizontal="center" vertical="center" wrapText="1"/>
    </xf>
    <xf numFmtId="0" fontId="2" fillId="2" borderId="0" xfId="0" quotePrefix="1" applyFont="1" applyFill="1"/>
    <xf numFmtId="9" fontId="2" fillId="2" borderId="0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2" fillId="0" borderId="0" xfId="0" applyFont="1" applyAlignment="1">
      <alignment horizontal="justify" vertical="center"/>
    </xf>
    <xf numFmtId="9" fontId="20" fillId="0" borderId="9" xfId="0" applyNumberFormat="1" applyFont="1" applyFill="1" applyBorder="1" applyAlignment="1">
      <alignment horizontal="justify" vertical="center" wrapText="1"/>
    </xf>
    <xf numFmtId="9" fontId="20" fillId="0" borderId="9" xfId="0" applyNumberFormat="1" applyFont="1" applyFill="1" applyBorder="1" applyAlignment="1">
      <alignment horizontal="center" vertical="center" wrapText="1"/>
    </xf>
    <xf numFmtId="9" fontId="20" fillId="2" borderId="9" xfId="0" applyNumberFormat="1" applyFont="1" applyFill="1" applyBorder="1" applyAlignment="1">
      <alignment horizontal="center" vertical="center" wrapText="1"/>
    </xf>
    <xf numFmtId="9" fontId="20" fillId="2" borderId="9" xfId="0" applyNumberFormat="1" applyFont="1" applyFill="1" applyBorder="1" applyAlignment="1">
      <alignment horizontal="justify" vertical="center" wrapText="1"/>
    </xf>
    <xf numFmtId="9" fontId="20" fillId="0" borderId="9" xfId="3" applyFont="1" applyFill="1" applyBorder="1" applyAlignment="1">
      <alignment horizontal="justify" vertical="center" wrapText="1"/>
    </xf>
    <xf numFmtId="9" fontId="20" fillId="0" borderId="9" xfId="3" applyFont="1" applyFill="1" applyBorder="1" applyAlignment="1">
      <alignment horizontal="center" vertical="center" wrapText="1"/>
    </xf>
    <xf numFmtId="9" fontId="19" fillId="0" borderId="9" xfId="0" applyNumberFormat="1" applyFont="1" applyFill="1" applyBorder="1" applyAlignment="1">
      <alignment horizontal="center" vertical="center" wrapText="1"/>
    </xf>
    <xf numFmtId="9" fontId="19" fillId="2" borderId="9" xfId="0" applyNumberFormat="1" applyFont="1" applyFill="1" applyBorder="1" applyAlignment="1">
      <alignment horizontal="center" vertical="center" wrapText="1"/>
    </xf>
    <xf numFmtId="9" fontId="19" fillId="0" borderId="9" xfId="3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justify" vertical="center" wrapText="1"/>
    </xf>
    <xf numFmtId="0" fontId="20" fillId="2" borderId="9" xfId="0" applyFont="1" applyFill="1" applyBorder="1" applyAlignment="1">
      <alignment horizontal="justify" vertical="center" wrapText="1"/>
    </xf>
    <xf numFmtId="10" fontId="21" fillId="0" borderId="21" xfId="1" applyNumberFormat="1" applyFont="1" applyBorder="1" applyAlignment="1" applyProtection="1">
      <alignment horizontal="center" vertical="center" wrapText="1"/>
    </xf>
    <xf numFmtId="10" fontId="21" fillId="0" borderId="9" xfId="1" applyNumberFormat="1" applyFont="1" applyBorder="1" applyAlignment="1" applyProtection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169" fontId="2" fillId="2" borderId="0" xfId="0" applyNumberFormat="1" applyFont="1" applyFill="1"/>
    <xf numFmtId="169" fontId="2" fillId="0" borderId="0" xfId="0" applyNumberFormat="1" applyFont="1"/>
    <xf numFmtId="9" fontId="14" fillId="0" borderId="0" xfId="0" applyNumberFormat="1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center" vertical="center" wrapText="1"/>
    </xf>
    <xf numFmtId="164" fontId="22" fillId="0" borderId="9" xfId="4" applyFont="1" applyFill="1" applyBorder="1" applyAlignment="1">
      <alignment horizontal="center" vertical="center" wrapText="1"/>
    </xf>
    <xf numFmtId="164" fontId="22" fillId="2" borderId="9" xfId="4" applyFont="1" applyFill="1" applyBorder="1" applyAlignment="1">
      <alignment horizontal="center" vertical="center" wrapText="1"/>
    </xf>
    <xf numFmtId="170" fontId="22" fillId="0" borderId="9" xfId="4" applyNumberFormat="1" applyFont="1" applyFill="1" applyBorder="1" applyAlignment="1">
      <alignment horizontal="center" vertical="center" wrapText="1"/>
    </xf>
    <xf numFmtId="1" fontId="22" fillId="0" borderId="9" xfId="0" applyNumberFormat="1" applyFont="1" applyFill="1" applyBorder="1" applyAlignment="1">
      <alignment horizontal="center" vertical="center" wrapText="1"/>
    </xf>
    <xf numFmtId="3" fontId="22" fillId="0" borderId="9" xfId="0" applyNumberFormat="1" applyFont="1" applyFill="1" applyBorder="1" applyAlignment="1">
      <alignment horizontal="center" vertical="center" wrapText="1"/>
    </xf>
    <xf numFmtId="167" fontId="22" fillId="0" borderId="9" xfId="0" applyNumberFormat="1" applyFont="1" applyFill="1" applyBorder="1" applyAlignment="1">
      <alignment horizontal="center" vertical="center" wrapText="1"/>
    </xf>
    <xf numFmtId="10" fontId="22" fillId="2" borderId="9" xfId="0" applyNumberFormat="1" applyFont="1" applyFill="1" applyBorder="1" applyAlignment="1">
      <alignment horizontal="center" vertical="center" wrapText="1"/>
    </xf>
    <xf numFmtId="9" fontId="22" fillId="2" borderId="9" xfId="0" applyNumberFormat="1" applyFont="1" applyFill="1" applyBorder="1" applyAlignment="1">
      <alignment horizontal="center" vertical="center" wrapText="1"/>
    </xf>
    <xf numFmtId="9" fontId="22" fillId="0" borderId="9" xfId="0" applyNumberFormat="1" applyFont="1" applyFill="1" applyBorder="1" applyAlignment="1">
      <alignment horizontal="center" vertical="center" wrapText="1"/>
    </xf>
    <xf numFmtId="10" fontId="22" fillId="0" borderId="9" xfId="0" applyNumberFormat="1" applyFont="1" applyFill="1" applyBorder="1" applyAlignment="1">
      <alignment horizontal="center" vertical="center" wrapText="1"/>
    </xf>
    <xf numFmtId="2" fontId="22" fillId="0" borderId="9" xfId="0" applyNumberFormat="1" applyFont="1" applyFill="1" applyBorder="1" applyAlignment="1">
      <alignment horizontal="center" vertical="center" wrapText="1"/>
    </xf>
    <xf numFmtId="10" fontId="22" fillId="0" borderId="9" xfId="1" applyNumberFormat="1" applyFont="1" applyFill="1" applyBorder="1" applyAlignment="1">
      <alignment horizontal="center" vertical="center" wrapText="1"/>
    </xf>
    <xf numFmtId="9" fontId="22" fillId="0" borderId="9" xfId="1" applyFont="1" applyFill="1" applyBorder="1" applyAlignment="1">
      <alignment horizontal="center" vertical="center" wrapText="1"/>
    </xf>
    <xf numFmtId="1" fontId="22" fillId="0" borderId="9" xfId="1" applyNumberFormat="1" applyFont="1" applyFill="1" applyBorder="1" applyAlignment="1">
      <alignment horizontal="center" vertical="center" wrapText="1"/>
    </xf>
    <xf numFmtId="167" fontId="22" fillId="0" borderId="9" xfId="1" applyNumberFormat="1" applyFont="1" applyFill="1" applyBorder="1" applyAlignment="1">
      <alignment horizontal="center" vertical="center" wrapText="1"/>
    </xf>
    <xf numFmtId="1" fontId="22" fillId="0" borderId="9" xfId="3" applyNumberFormat="1" applyFont="1" applyFill="1" applyBorder="1" applyAlignment="1">
      <alignment horizontal="center" vertical="center" wrapText="1"/>
    </xf>
    <xf numFmtId="167" fontId="22" fillId="2" borderId="9" xfId="0" applyNumberFormat="1" applyFont="1" applyFill="1" applyBorder="1" applyAlignment="1">
      <alignment horizontal="center" vertical="center" wrapText="1"/>
    </xf>
    <xf numFmtId="168" fontId="22" fillId="0" borderId="9" xfId="4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justify" vertical="center" wrapText="1"/>
    </xf>
    <xf numFmtId="0" fontId="20" fillId="0" borderId="8" xfId="0" applyFont="1" applyFill="1" applyBorder="1" applyAlignment="1">
      <alignment horizontal="justify" vertical="center" wrapText="1"/>
    </xf>
    <xf numFmtId="9" fontId="20" fillId="0" borderId="4" xfId="0" applyNumberFormat="1" applyFont="1" applyFill="1" applyBorder="1" applyAlignment="1">
      <alignment horizontal="justify" vertical="center" wrapText="1"/>
    </xf>
    <xf numFmtId="9" fontId="20" fillId="0" borderId="8" xfId="0" applyNumberFormat="1" applyFont="1" applyFill="1" applyBorder="1" applyAlignment="1">
      <alignment horizontal="justify" vertical="center" wrapText="1"/>
    </xf>
    <xf numFmtId="9" fontId="20" fillId="0" borderId="8" xfId="0" applyNumberFormat="1" applyFont="1" applyFill="1" applyBorder="1" applyAlignment="1">
      <alignment horizontal="center" vertical="center" wrapText="1"/>
    </xf>
    <xf numFmtId="9" fontId="19" fillId="0" borderId="4" xfId="0" applyNumberFormat="1" applyFont="1" applyFill="1" applyBorder="1" applyAlignment="1">
      <alignment horizontal="center" vertical="center" wrapText="1"/>
    </xf>
    <xf numFmtId="9" fontId="19" fillId="0" borderId="8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justify" vertical="center" wrapText="1"/>
    </xf>
    <xf numFmtId="0" fontId="12" fillId="0" borderId="10" xfId="0" applyFont="1" applyFill="1" applyBorder="1" applyAlignment="1">
      <alignment horizontal="center" vertical="center"/>
    </xf>
    <xf numFmtId="1" fontId="22" fillId="0" borderId="8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9" fontId="21" fillId="0" borderId="0" xfId="0" applyNumberFormat="1" applyFont="1" applyFill="1" applyBorder="1" applyAlignment="1">
      <alignment horizontal="center" vertical="center" wrapText="1"/>
    </xf>
    <xf numFmtId="9" fontId="21" fillId="0" borderId="22" xfId="0" applyNumberFormat="1" applyFont="1" applyFill="1" applyBorder="1" applyAlignment="1">
      <alignment horizontal="center" vertical="center" wrapText="1"/>
    </xf>
    <xf numFmtId="10" fontId="21" fillId="0" borderId="13" xfId="1" applyNumberFormat="1" applyFont="1" applyBorder="1" applyAlignment="1" applyProtection="1">
      <alignment horizontal="center" vertical="center" wrapText="1"/>
    </xf>
    <xf numFmtId="9" fontId="21" fillId="0" borderId="9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justify" vertical="center" wrapText="1"/>
    </xf>
    <xf numFmtId="0" fontId="20" fillId="0" borderId="8" xfId="0" applyFont="1" applyFill="1" applyBorder="1" applyAlignment="1">
      <alignment horizontal="justify" vertical="center" wrapText="1"/>
    </xf>
    <xf numFmtId="9" fontId="20" fillId="0" borderId="4" xfId="0" applyNumberFormat="1" applyFont="1" applyFill="1" applyBorder="1" applyAlignment="1">
      <alignment horizontal="justify" vertical="center" wrapText="1"/>
    </xf>
    <xf numFmtId="9" fontId="20" fillId="0" borderId="8" xfId="0" applyNumberFormat="1" applyFont="1" applyFill="1" applyBorder="1" applyAlignment="1">
      <alignment horizontal="justify" vertical="center" wrapText="1"/>
    </xf>
    <xf numFmtId="0" fontId="17" fillId="2" borderId="4" xfId="0" applyFont="1" applyFill="1" applyBorder="1" applyAlignment="1">
      <alignment horizontal="center" vertical="center" textRotation="90"/>
    </xf>
    <xf numFmtId="0" fontId="17" fillId="2" borderId="10" xfId="0" applyFont="1" applyFill="1" applyBorder="1" applyAlignment="1">
      <alignment horizontal="center" vertical="center" textRotation="90"/>
    </xf>
    <xf numFmtId="0" fontId="17" fillId="2" borderId="8" xfId="0" applyFont="1" applyFill="1" applyBorder="1" applyAlignment="1">
      <alignment horizontal="center" vertical="center" textRotation="90"/>
    </xf>
    <xf numFmtId="0" fontId="17" fillId="2" borderId="4" xfId="0" applyFont="1" applyFill="1" applyBorder="1" applyAlignment="1">
      <alignment horizontal="center" vertical="center" textRotation="90" wrapText="1"/>
    </xf>
    <xf numFmtId="0" fontId="17" fillId="2" borderId="10" xfId="0" applyFont="1" applyFill="1" applyBorder="1" applyAlignment="1">
      <alignment horizontal="center" vertical="center" textRotation="90" wrapText="1"/>
    </xf>
    <xf numFmtId="0" fontId="17" fillId="2" borderId="8" xfId="0" applyFont="1" applyFill="1" applyBorder="1" applyAlignment="1">
      <alignment horizontal="center" vertical="center" textRotation="90" wrapText="1"/>
    </xf>
    <xf numFmtId="37" fontId="11" fillId="2" borderId="12" xfId="2" applyNumberFormat="1" applyFont="1" applyFill="1" applyBorder="1" applyAlignment="1">
      <alignment horizontal="center" vertical="center" wrapText="1"/>
    </xf>
    <xf numFmtId="37" fontId="11" fillId="2" borderId="14" xfId="2" applyNumberFormat="1" applyFont="1" applyFill="1" applyBorder="1" applyAlignment="1">
      <alignment horizontal="center" vertical="center" wrapText="1"/>
    </xf>
    <xf numFmtId="10" fontId="3" fillId="2" borderId="13" xfId="0" applyNumberFormat="1" applyFont="1" applyFill="1" applyBorder="1" applyAlignment="1">
      <alignment horizontal="center" vertical="center" textRotation="90" wrapText="1"/>
    </xf>
    <xf numFmtId="10" fontId="3" fillId="2" borderId="15" xfId="0" applyNumberFormat="1" applyFont="1" applyFill="1" applyBorder="1" applyAlignment="1">
      <alignment horizontal="center" vertical="center" textRotation="90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textRotation="90" wrapText="1"/>
    </xf>
    <xf numFmtId="0" fontId="3" fillId="2" borderId="15" xfId="0" applyFont="1" applyFill="1" applyBorder="1" applyAlignment="1">
      <alignment horizontal="center" vertical="center" textRotation="90" wrapText="1"/>
    </xf>
    <xf numFmtId="0" fontId="3" fillId="2" borderId="19" xfId="0" applyFont="1" applyFill="1" applyBorder="1" applyAlignment="1">
      <alignment horizontal="center" vertical="center" textRotation="90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10" fontId="21" fillId="0" borderId="4" xfId="1" applyNumberFormat="1" applyFont="1" applyBorder="1" applyAlignment="1" applyProtection="1">
      <alignment horizontal="center" vertical="center" wrapText="1"/>
    </xf>
    <xf numFmtId="10" fontId="21" fillId="0" borderId="8" xfId="1" applyNumberFormat="1" applyFont="1" applyBorder="1" applyAlignment="1" applyProtection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justify" vertical="center" wrapText="1"/>
    </xf>
    <xf numFmtId="9" fontId="19" fillId="0" borderId="4" xfId="0" applyNumberFormat="1" applyFont="1" applyFill="1" applyBorder="1" applyAlignment="1">
      <alignment horizontal="center" vertical="center" wrapText="1"/>
    </xf>
    <xf numFmtId="9" fontId="19" fillId="0" borderId="8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9" fontId="20" fillId="0" borderId="4" xfId="0" applyNumberFormat="1" applyFont="1" applyFill="1" applyBorder="1" applyAlignment="1">
      <alignment horizontal="center" vertical="center" wrapText="1"/>
    </xf>
    <xf numFmtId="9" fontId="20" fillId="0" borderId="8" xfId="0" applyNumberFormat="1" applyFont="1" applyFill="1" applyBorder="1" applyAlignment="1">
      <alignment horizontal="center" vertical="center" wrapText="1"/>
    </xf>
    <xf numFmtId="164" fontId="22" fillId="0" borderId="4" xfId="4" applyFont="1" applyFill="1" applyBorder="1" applyAlignment="1">
      <alignment horizontal="center" vertical="center" wrapText="1"/>
    </xf>
    <xf numFmtId="164" fontId="22" fillId="0" borderId="8" xfId="4" applyFont="1" applyFill="1" applyBorder="1" applyAlignment="1">
      <alignment horizontal="center" vertical="center" wrapText="1"/>
    </xf>
    <xf numFmtId="164" fontId="22" fillId="2" borderId="4" xfId="4" applyFont="1" applyFill="1" applyBorder="1" applyAlignment="1">
      <alignment horizontal="center" vertical="center" wrapText="1"/>
    </xf>
    <xf numFmtId="164" fontId="22" fillId="2" borderId="8" xfId="4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1" fontId="22" fillId="0" borderId="4" xfId="0" applyNumberFormat="1" applyFont="1" applyFill="1" applyBorder="1" applyAlignment="1">
      <alignment horizontal="center" vertical="center" wrapText="1"/>
    </xf>
    <xf numFmtId="1" fontId="22" fillId="0" borderId="10" xfId="0" applyNumberFormat="1" applyFont="1" applyFill="1" applyBorder="1" applyAlignment="1">
      <alignment horizontal="center" vertical="center" wrapText="1"/>
    </xf>
    <xf numFmtId="1" fontId="22" fillId="0" borderId="8" xfId="0" applyNumberFormat="1" applyFont="1" applyFill="1" applyBorder="1" applyAlignment="1">
      <alignment horizontal="center" vertical="center" wrapText="1"/>
    </xf>
    <xf numFmtId="10" fontId="21" fillId="0" borderId="10" xfId="1" applyNumberFormat="1" applyFont="1" applyBorder="1" applyAlignment="1" applyProtection="1">
      <alignment horizontal="center" vertical="center" wrapText="1"/>
    </xf>
    <xf numFmtId="9" fontId="20" fillId="0" borderId="10" xfId="0" applyNumberFormat="1" applyFont="1" applyFill="1" applyBorder="1" applyAlignment="1">
      <alignment horizontal="justify" vertical="center" wrapText="1"/>
    </xf>
    <xf numFmtId="9" fontId="19" fillId="0" borderId="10" xfId="0" applyNumberFormat="1" applyFont="1" applyFill="1" applyBorder="1" applyAlignment="1">
      <alignment horizontal="center" vertical="center" wrapText="1"/>
    </xf>
    <xf numFmtId="9" fontId="20" fillId="0" borderId="10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justify" vertical="center" wrapText="1"/>
    </xf>
    <xf numFmtId="0" fontId="20" fillId="2" borderId="8" xfId="0" applyFont="1" applyFill="1" applyBorder="1" applyAlignment="1">
      <alignment horizontal="justify" vertical="center" wrapText="1"/>
    </xf>
    <xf numFmtId="9" fontId="20" fillId="0" borderId="4" xfId="0" applyNumberFormat="1" applyFont="1" applyFill="1" applyBorder="1" applyAlignment="1">
      <alignment horizontal="left" vertical="center" wrapText="1"/>
    </xf>
    <xf numFmtId="9" fontId="20" fillId="0" borderId="8" xfId="0" applyNumberFormat="1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9" fontId="22" fillId="0" borderId="4" xfId="3" applyFont="1" applyFill="1" applyBorder="1" applyAlignment="1">
      <alignment horizontal="center" vertical="center" wrapText="1"/>
    </xf>
    <xf numFmtId="9" fontId="22" fillId="0" borderId="8" xfId="3" applyFont="1" applyFill="1" applyBorder="1" applyAlignment="1">
      <alignment horizontal="center" vertical="center" wrapText="1"/>
    </xf>
    <xf numFmtId="9" fontId="20" fillId="0" borderId="4" xfId="3" applyNumberFormat="1" applyFont="1" applyFill="1" applyBorder="1" applyAlignment="1">
      <alignment horizontal="justify" vertical="center" wrapText="1"/>
    </xf>
    <xf numFmtId="9" fontId="20" fillId="0" borderId="8" xfId="3" applyNumberFormat="1" applyFont="1" applyFill="1" applyBorder="1" applyAlignment="1">
      <alignment horizontal="justify" vertical="center" wrapText="1"/>
    </xf>
    <xf numFmtId="9" fontId="19" fillId="0" borderId="4" xfId="3" applyFont="1" applyFill="1" applyBorder="1" applyAlignment="1">
      <alignment horizontal="center" vertical="center" wrapText="1"/>
    </xf>
    <xf numFmtId="9" fontId="19" fillId="0" borderId="8" xfId="3" applyFont="1" applyFill="1" applyBorder="1" applyAlignment="1">
      <alignment horizontal="center" vertical="center" wrapText="1"/>
    </xf>
    <xf numFmtId="9" fontId="20" fillId="0" borderId="4" xfId="3" applyFont="1" applyFill="1" applyBorder="1" applyAlignment="1">
      <alignment horizontal="justify" vertical="center" wrapText="1"/>
    </xf>
    <xf numFmtId="9" fontId="20" fillId="0" borderId="8" xfId="3" applyFont="1" applyFill="1" applyBorder="1" applyAlignment="1">
      <alignment horizontal="justify" vertical="center" wrapText="1"/>
    </xf>
    <xf numFmtId="9" fontId="20" fillId="0" borderId="4" xfId="3" applyFont="1" applyFill="1" applyBorder="1" applyAlignment="1">
      <alignment horizontal="center" vertical="center" wrapText="1"/>
    </xf>
    <xf numFmtId="9" fontId="20" fillId="0" borderId="8" xfId="3" applyFont="1" applyFill="1" applyBorder="1" applyAlignment="1">
      <alignment horizontal="center" vertical="center" wrapText="1"/>
    </xf>
    <xf numFmtId="9" fontId="21" fillId="0" borderId="10" xfId="0" applyNumberFormat="1" applyFont="1" applyFill="1" applyBorder="1" applyAlignment="1">
      <alignment horizontal="center" vertical="center" wrapText="1"/>
    </xf>
    <xf numFmtId="9" fontId="21" fillId="0" borderId="8" xfId="0" applyNumberFormat="1" applyFont="1" applyFill="1" applyBorder="1" applyAlignment="1">
      <alignment horizontal="center" vertical="center" wrapText="1"/>
    </xf>
  </cellXfs>
  <cellStyles count="6">
    <cellStyle name="Millares 2" xfId="2"/>
    <cellStyle name="Moneda" xfId="4" builtinId="4"/>
    <cellStyle name="Normal" xfId="0" builtinId="0"/>
    <cellStyle name="Normal 3" xfId="5"/>
    <cellStyle name="Porcentual" xfId="1" builtinId="5"/>
    <cellStyle name="Porcentual 2" xfId="3"/>
  </cellStyles>
  <dxfs count="12"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166687</xdr:rowOff>
    </xdr:from>
    <xdr:to>
      <xdr:col>7</xdr:col>
      <xdr:colOff>238124</xdr:colOff>
      <xdr:row>4</xdr:row>
      <xdr:rowOff>40467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261937"/>
          <a:ext cx="3162299" cy="120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70</xdr:row>
      <xdr:rowOff>114300</xdr:rowOff>
    </xdr:from>
    <xdr:to>
      <xdr:col>8</xdr:col>
      <xdr:colOff>1790701</xdr:colOff>
      <xdr:row>80</xdr:row>
      <xdr:rowOff>42863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2900" y="138760200"/>
          <a:ext cx="8039101" cy="2976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73"/>
  <sheetViews>
    <sheetView tabSelected="1" view="pageBreakPreview" zoomScale="40" zoomScaleNormal="70" zoomScaleSheetLayoutView="40" workbookViewId="0">
      <selection activeCell="H9" sqref="H9:H10"/>
    </sheetView>
  </sheetViews>
  <sheetFormatPr baseColWidth="10" defaultRowHeight="22.5"/>
  <cols>
    <col min="1" max="1" width="2.85546875" style="1" customWidth="1"/>
    <col min="2" max="2" width="2" style="1" customWidth="1"/>
    <col min="3" max="4" width="10.140625" style="1" customWidth="1"/>
    <col min="5" max="5" width="7" style="4" customWidth="1"/>
    <col min="6" max="6" width="11" style="21" customWidth="1"/>
    <col min="7" max="7" width="7.7109375" style="4" customWidth="1"/>
    <col min="8" max="8" width="47.140625" style="22" customWidth="1"/>
    <col min="9" max="9" width="49.28515625" style="22" customWidth="1"/>
    <col min="10" max="10" width="48.28515625" style="4" customWidth="1"/>
    <col min="11" max="11" width="16.85546875" style="4" customWidth="1"/>
    <col min="12" max="12" width="42.5703125" style="4" customWidth="1"/>
    <col min="13" max="13" width="26.42578125" style="4" customWidth="1"/>
    <col min="14" max="14" width="29.85546875" style="4" customWidth="1"/>
    <col min="15" max="15" width="29.140625" style="4" customWidth="1"/>
    <col min="16" max="16" width="23" style="4" customWidth="1"/>
    <col min="17" max="17" width="29.7109375" style="4" customWidth="1"/>
    <col min="18" max="18" width="30.5703125" style="4" customWidth="1"/>
    <col min="19" max="19" width="22.28515625" style="4" customWidth="1"/>
    <col min="20" max="20" width="6.140625" style="4" customWidth="1"/>
    <col min="21" max="21" width="12.42578125" style="4" customWidth="1"/>
    <col min="22" max="22" width="23.7109375" style="4" customWidth="1"/>
    <col min="23" max="23" width="10.28515625" style="4" customWidth="1"/>
    <col min="24" max="24" width="8" style="4" customWidth="1"/>
    <col min="25" max="16384" width="11.42578125" style="4"/>
  </cols>
  <sheetData>
    <row r="1" spans="3:27" ht="7.5" customHeight="1">
      <c r="E1" s="1"/>
      <c r="F1" s="2"/>
      <c r="G1" s="1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3:27" ht="42" customHeight="1">
      <c r="C2" s="83" t="s">
        <v>0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5"/>
      <c r="U2" s="5"/>
      <c r="V2" s="5"/>
      <c r="W2" s="1"/>
    </row>
    <row r="3" spans="3:27" ht="27" customHeight="1">
      <c r="C3" s="83" t="s">
        <v>191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5"/>
      <c r="U3" s="5"/>
      <c r="V3" s="5"/>
      <c r="W3" s="1"/>
    </row>
    <row r="4" spans="3:27" ht="36" customHeight="1">
      <c r="C4" s="84" t="s">
        <v>223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72"/>
      <c r="U4" s="72"/>
      <c r="V4" s="72"/>
      <c r="W4" s="1"/>
    </row>
    <row r="5" spans="3:27" ht="19.5" customHeight="1" thickBot="1"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1"/>
    </row>
    <row r="6" spans="3:27" ht="42.75" customHeight="1" thickBot="1">
      <c r="C6" s="85" t="s">
        <v>1</v>
      </c>
      <c r="D6" s="86"/>
      <c r="E6" s="86"/>
      <c r="F6" s="86"/>
      <c r="G6" s="86"/>
      <c r="H6" s="86"/>
      <c r="I6" s="86"/>
      <c r="J6" s="148" t="s">
        <v>2</v>
      </c>
      <c r="K6" s="149"/>
      <c r="L6" s="149"/>
      <c r="M6" s="149"/>
      <c r="N6" s="149"/>
      <c r="O6" s="149"/>
      <c r="P6" s="149"/>
      <c r="Q6" s="149"/>
      <c r="R6" s="149"/>
      <c r="S6" s="150"/>
      <c r="T6" s="7"/>
      <c r="U6" s="7"/>
      <c r="V6" s="7"/>
      <c r="W6" s="1"/>
    </row>
    <row r="7" spans="3:27" ht="56.25" customHeight="1" thickBot="1">
      <c r="C7" s="87" t="s">
        <v>3</v>
      </c>
      <c r="D7" s="87" t="s">
        <v>4</v>
      </c>
      <c r="E7" s="89" t="s">
        <v>5</v>
      </c>
      <c r="F7" s="90"/>
      <c r="G7" s="89" t="s">
        <v>9</v>
      </c>
      <c r="H7" s="141" t="s">
        <v>229</v>
      </c>
      <c r="I7" s="141" t="s">
        <v>7</v>
      </c>
      <c r="J7" s="144" t="s">
        <v>6</v>
      </c>
      <c r="K7" s="146" t="s">
        <v>11</v>
      </c>
      <c r="L7" s="144" t="s">
        <v>7</v>
      </c>
      <c r="M7" s="107" t="s">
        <v>8</v>
      </c>
      <c r="N7" s="77" t="s">
        <v>221</v>
      </c>
      <c r="O7" s="78"/>
      <c r="P7" s="79"/>
      <c r="Q7" s="80" t="s">
        <v>222</v>
      </c>
      <c r="R7" s="81"/>
      <c r="S7" s="82"/>
      <c r="T7" s="8"/>
      <c r="U7" s="8"/>
      <c r="V7" s="8"/>
      <c r="W7" s="1"/>
    </row>
    <row r="8" spans="3:27" ht="79.5" customHeight="1" thickBot="1">
      <c r="C8" s="88"/>
      <c r="D8" s="88"/>
      <c r="E8" s="36" t="s">
        <v>9</v>
      </c>
      <c r="F8" s="36" t="s">
        <v>10</v>
      </c>
      <c r="G8" s="143"/>
      <c r="H8" s="142"/>
      <c r="I8" s="142"/>
      <c r="J8" s="145"/>
      <c r="K8" s="147"/>
      <c r="L8" s="145"/>
      <c r="M8" s="108"/>
      <c r="N8" s="37" t="s">
        <v>225</v>
      </c>
      <c r="O8" s="37" t="s">
        <v>226</v>
      </c>
      <c r="P8" s="37" t="s">
        <v>184</v>
      </c>
      <c r="Q8" s="37" t="s">
        <v>227</v>
      </c>
      <c r="R8" s="37" t="s">
        <v>228</v>
      </c>
      <c r="S8" s="37" t="s">
        <v>184</v>
      </c>
      <c r="T8" s="8"/>
      <c r="U8" s="8"/>
      <c r="V8" s="8"/>
      <c r="W8" s="1"/>
    </row>
    <row r="9" spans="3:27" ht="92.25" customHeight="1" thickBot="1">
      <c r="C9" s="95" t="s">
        <v>12</v>
      </c>
      <c r="D9" s="98" t="s">
        <v>13</v>
      </c>
      <c r="E9" s="101">
        <v>1</v>
      </c>
      <c r="F9" s="103" t="s">
        <v>14</v>
      </c>
      <c r="G9" s="105">
        <v>101</v>
      </c>
      <c r="H9" s="91" t="s">
        <v>15</v>
      </c>
      <c r="I9" s="91" t="s">
        <v>16</v>
      </c>
      <c r="J9" s="93" t="s">
        <v>17</v>
      </c>
      <c r="K9" s="29" t="s">
        <v>18</v>
      </c>
      <c r="L9" s="23" t="s">
        <v>213</v>
      </c>
      <c r="M9" s="24" t="s">
        <v>19</v>
      </c>
      <c r="N9" s="42">
        <v>656304.5</v>
      </c>
      <c r="O9" s="44">
        <v>-644602</v>
      </c>
      <c r="P9" s="34">
        <f>+O9/N9</f>
        <v>-0.98216909986142098</v>
      </c>
      <c r="Q9" s="42">
        <f>236020.5+N9</f>
        <v>892325</v>
      </c>
      <c r="R9" s="43">
        <f>-242369+O9</f>
        <v>-886971</v>
      </c>
      <c r="S9" s="34">
        <f>+R9/Q9</f>
        <v>-0.99399994396660407</v>
      </c>
      <c r="T9" s="9"/>
      <c r="U9" s="10"/>
      <c r="V9" s="41"/>
      <c r="W9" s="1"/>
    </row>
    <row r="10" spans="3:27" ht="84" customHeight="1" thickBot="1">
      <c r="C10" s="96"/>
      <c r="D10" s="99"/>
      <c r="E10" s="102"/>
      <c r="F10" s="104"/>
      <c r="G10" s="106"/>
      <c r="H10" s="92"/>
      <c r="I10" s="92"/>
      <c r="J10" s="94"/>
      <c r="K10" s="29" t="s">
        <v>20</v>
      </c>
      <c r="L10" s="23" t="s">
        <v>212</v>
      </c>
      <c r="M10" s="24" t="s">
        <v>19</v>
      </c>
      <c r="N10" s="44">
        <v>1027962</v>
      </c>
      <c r="O10" s="59">
        <v>-625050</v>
      </c>
      <c r="P10" s="34">
        <f t="shared" ref="P10:P69" si="0">+O10/N10</f>
        <v>-0.60804776830271934</v>
      </c>
      <c r="Q10" s="44">
        <f>639393+N10</f>
        <v>1667355</v>
      </c>
      <c r="R10" s="43">
        <f>-36131+O10</f>
        <v>-661181</v>
      </c>
      <c r="S10" s="34">
        <f t="shared" ref="S10:S69" si="1">+R10/Q10</f>
        <v>-0.3965448269864546</v>
      </c>
      <c r="T10" s="9"/>
      <c r="U10" s="10"/>
      <c r="V10" s="11"/>
      <c r="W10" s="1"/>
    </row>
    <row r="11" spans="3:27" ht="75" customHeight="1" thickBot="1">
      <c r="C11" s="96"/>
      <c r="D11" s="99"/>
      <c r="E11" s="102"/>
      <c r="F11" s="104"/>
      <c r="G11" s="105">
        <v>102</v>
      </c>
      <c r="H11" s="91" t="s">
        <v>21</v>
      </c>
      <c r="I11" s="62" t="s">
        <v>22</v>
      </c>
      <c r="J11" s="93" t="s">
        <v>23</v>
      </c>
      <c r="K11" s="119" t="s">
        <v>24</v>
      </c>
      <c r="L11" s="93" t="s">
        <v>211</v>
      </c>
      <c r="M11" s="123" t="s">
        <v>19</v>
      </c>
      <c r="N11" s="125">
        <v>42500</v>
      </c>
      <c r="O11" s="125">
        <v>57895</v>
      </c>
      <c r="P11" s="115">
        <f t="shared" si="0"/>
        <v>1.362235294117647</v>
      </c>
      <c r="Q11" s="125">
        <f>127500+N11</f>
        <v>170000</v>
      </c>
      <c r="R11" s="127">
        <f>214774+O11</f>
        <v>272669</v>
      </c>
      <c r="S11" s="115">
        <f t="shared" si="1"/>
        <v>1.603935294117647</v>
      </c>
      <c r="T11" s="9"/>
      <c r="U11" s="10"/>
      <c r="V11" s="11"/>
      <c r="W11" s="1"/>
    </row>
    <row r="12" spans="3:27" ht="81.75" customHeight="1" thickBot="1">
      <c r="C12" s="96"/>
      <c r="D12" s="99"/>
      <c r="E12" s="102"/>
      <c r="F12" s="104"/>
      <c r="G12" s="117"/>
      <c r="H12" s="118"/>
      <c r="I12" s="32" t="s">
        <v>25</v>
      </c>
      <c r="J12" s="94"/>
      <c r="K12" s="120"/>
      <c r="L12" s="94"/>
      <c r="M12" s="124"/>
      <c r="N12" s="126"/>
      <c r="O12" s="126"/>
      <c r="P12" s="116"/>
      <c r="Q12" s="126"/>
      <c r="R12" s="128"/>
      <c r="S12" s="116"/>
      <c r="T12" s="9"/>
      <c r="U12" s="10"/>
      <c r="V12" s="10"/>
      <c r="W12" s="1"/>
    </row>
    <row r="13" spans="3:27" ht="99" customHeight="1" thickBot="1">
      <c r="C13" s="96"/>
      <c r="D13" s="99"/>
      <c r="E13" s="102"/>
      <c r="F13" s="104"/>
      <c r="G13" s="106"/>
      <c r="H13" s="92"/>
      <c r="I13" s="32" t="s">
        <v>26</v>
      </c>
      <c r="J13" s="23" t="s">
        <v>27</v>
      </c>
      <c r="K13" s="29" t="s">
        <v>28</v>
      </c>
      <c r="L13" s="23" t="s">
        <v>224</v>
      </c>
      <c r="M13" s="24" t="s">
        <v>29</v>
      </c>
      <c r="N13" s="45">
        <v>1</v>
      </c>
      <c r="O13" s="45">
        <v>1</v>
      </c>
      <c r="P13" s="34">
        <f t="shared" si="0"/>
        <v>1</v>
      </c>
      <c r="Q13" s="45">
        <f>3+N13</f>
        <v>4</v>
      </c>
      <c r="R13" s="45">
        <f>3+O13</f>
        <v>4</v>
      </c>
      <c r="S13" s="34">
        <f t="shared" si="1"/>
        <v>1</v>
      </c>
      <c r="T13" s="9"/>
      <c r="U13" s="10"/>
      <c r="V13" s="10"/>
      <c r="W13" s="1"/>
    </row>
    <row r="14" spans="3:27" ht="112.5" customHeight="1" thickBot="1">
      <c r="C14" s="96"/>
      <c r="D14" s="99"/>
      <c r="E14" s="102"/>
      <c r="F14" s="104"/>
      <c r="G14" s="105">
        <v>103</v>
      </c>
      <c r="H14" s="91" t="s">
        <v>30</v>
      </c>
      <c r="I14" s="62" t="s">
        <v>31</v>
      </c>
      <c r="J14" s="93" t="s">
        <v>32</v>
      </c>
      <c r="K14" s="29" t="s">
        <v>33</v>
      </c>
      <c r="L14" s="23" t="s">
        <v>34</v>
      </c>
      <c r="M14" s="24" t="s">
        <v>35</v>
      </c>
      <c r="N14" s="45">
        <v>38</v>
      </c>
      <c r="O14" s="45">
        <v>54</v>
      </c>
      <c r="P14" s="34">
        <f t="shared" si="0"/>
        <v>1.4210526315789473</v>
      </c>
      <c r="Q14" s="45">
        <f>42+N14</f>
        <v>80</v>
      </c>
      <c r="R14" s="45">
        <f>+O14</f>
        <v>54</v>
      </c>
      <c r="S14" s="34">
        <f t="shared" si="1"/>
        <v>0.67500000000000004</v>
      </c>
      <c r="T14" s="9"/>
      <c r="U14" s="10"/>
      <c r="V14" s="10"/>
      <c r="W14" s="38"/>
      <c r="Y14" s="39"/>
      <c r="AA14" s="39"/>
    </row>
    <row r="15" spans="3:27" ht="101.25" customHeight="1" thickBot="1">
      <c r="C15" s="96"/>
      <c r="D15" s="99"/>
      <c r="E15" s="102"/>
      <c r="F15" s="104"/>
      <c r="G15" s="106"/>
      <c r="H15" s="92"/>
      <c r="I15" s="62" t="s">
        <v>203</v>
      </c>
      <c r="J15" s="94"/>
      <c r="K15" s="29" t="s">
        <v>36</v>
      </c>
      <c r="L15" s="23" t="s">
        <v>210</v>
      </c>
      <c r="M15" s="24" t="s">
        <v>29</v>
      </c>
      <c r="N15" s="46">
        <v>3440</v>
      </c>
      <c r="O15" s="46">
        <v>5973</v>
      </c>
      <c r="P15" s="34">
        <f t="shared" si="0"/>
        <v>1.7363372093023255</v>
      </c>
      <c r="Q15" s="46">
        <f>4560+N15</f>
        <v>8000</v>
      </c>
      <c r="R15" s="46">
        <f>+O15</f>
        <v>5973</v>
      </c>
      <c r="S15" s="34">
        <f t="shared" si="1"/>
        <v>0.74662499999999998</v>
      </c>
      <c r="T15" s="9"/>
      <c r="U15" s="10"/>
      <c r="V15" s="10"/>
      <c r="W15" s="1"/>
    </row>
    <row r="16" spans="3:27" ht="108.75" customHeight="1" thickBot="1">
      <c r="C16" s="96"/>
      <c r="D16" s="99"/>
      <c r="E16" s="112">
        <v>2</v>
      </c>
      <c r="F16" s="109" t="s">
        <v>37</v>
      </c>
      <c r="G16" s="121">
        <v>201</v>
      </c>
      <c r="H16" s="91" t="s">
        <v>187</v>
      </c>
      <c r="I16" s="32" t="s">
        <v>38</v>
      </c>
      <c r="J16" s="93" t="s">
        <v>39</v>
      </c>
      <c r="K16" s="119" t="s">
        <v>40</v>
      </c>
      <c r="L16" s="93" t="s">
        <v>41</v>
      </c>
      <c r="M16" s="123" t="s">
        <v>29</v>
      </c>
      <c r="N16" s="130">
        <v>1</v>
      </c>
      <c r="O16" s="130">
        <v>1</v>
      </c>
      <c r="P16" s="115">
        <f t="shared" si="0"/>
        <v>1</v>
      </c>
      <c r="Q16" s="130">
        <f>1+N16</f>
        <v>2</v>
      </c>
      <c r="R16" s="130">
        <f>+O16</f>
        <v>1</v>
      </c>
      <c r="S16" s="115">
        <f t="shared" si="1"/>
        <v>0.5</v>
      </c>
      <c r="T16" s="9"/>
      <c r="U16" s="10"/>
      <c r="V16" s="11"/>
      <c r="W16" s="1"/>
    </row>
    <row r="17" spans="3:23" ht="66" customHeight="1" thickBot="1">
      <c r="C17" s="96"/>
      <c r="D17" s="99"/>
      <c r="E17" s="113"/>
      <c r="F17" s="110"/>
      <c r="G17" s="122"/>
      <c r="H17" s="92"/>
      <c r="I17" s="62" t="s">
        <v>42</v>
      </c>
      <c r="J17" s="134"/>
      <c r="K17" s="135"/>
      <c r="L17" s="134"/>
      <c r="M17" s="136"/>
      <c r="N17" s="131"/>
      <c r="O17" s="131"/>
      <c r="P17" s="133"/>
      <c r="Q17" s="131"/>
      <c r="R17" s="131"/>
      <c r="S17" s="133"/>
      <c r="T17" s="9"/>
      <c r="U17" s="10"/>
      <c r="V17" s="11"/>
      <c r="W17" s="1"/>
    </row>
    <row r="18" spans="3:23" ht="54.75" customHeight="1" thickBot="1">
      <c r="C18" s="96"/>
      <c r="D18" s="99"/>
      <c r="E18" s="113"/>
      <c r="F18" s="110"/>
      <c r="G18" s="121">
        <v>202</v>
      </c>
      <c r="H18" s="91" t="s">
        <v>185</v>
      </c>
      <c r="I18" s="62" t="s">
        <v>43</v>
      </c>
      <c r="J18" s="134"/>
      <c r="K18" s="135"/>
      <c r="L18" s="134"/>
      <c r="M18" s="136"/>
      <c r="N18" s="131"/>
      <c r="O18" s="131"/>
      <c r="P18" s="133"/>
      <c r="Q18" s="131"/>
      <c r="R18" s="131"/>
      <c r="S18" s="133"/>
      <c r="T18" s="9"/>
      <c r="U18" s="10"/>
      <c r="V18" s="11"/>
      <c r="W18" s="1"/>
    </row>
    <row r="19" spans="3:23" ht="88.5" customHeight="1" thickBot="1">
      <c r="C19" s="96"/>
      <c r="D19" s="99"/>
      <c r="E19" s="113"/>
      <c r="F19" s="110"/>
      <c r="G19" s="122"/>
      <c r="H19" s="92"/>
      <c r="I19" s="32" t="s">
        <v>44</v>
      </c>
      <c r="J19" s="134"/>
      <c r="K19" s="135"/>
      <c r="L19" s="134"/>
      <c r="M19" s="136"/>
      <c r="N19" s="131"/>
      <c r="O19" s="131"/>
      <c r="P19" s="133"/>
      <c r="Q19" s="131"/>
      <c r="R19" s="131"/>
      <c r="S19" s="133"/>
      <c r="T19" s="9"/>
      <c r="U19" s="10"/>
      <c r="V19" s="12"/>
      <c r="W19" s="1"/>
    </row>
    <row r="20" spans="3:23" ht="66" customHeight="1" thickBot="1">
      <c r="C20" s="96"/>
      <c r="D20" s="99"/>
      <c r="E20" s="113"/>
      <c r="F20" s="110"/>
      <c r="G20" s="121">
        <v>203</v>
      </c>
      <c r="H20" s="91" t="s">
        <v>186</v>
      </c>
      <c r="I20" s="32" t="s">
        <v>45</v>
      </c>
      <c r="J20" s="134"/>
      <c r="K20" s="135"/>
      <c r="L20" s="134"/>
      <c r="M20" s="136"/>
      <c r="N20" s="131"/>
      <c r="O20" s="131"/>
      <c r="P20" s="133"/>
      <c r="Q20" s="131"/>
      <c r="R20" s="131"/>
      <c r="S20" s="133"/>
      <c r="T20" s="9"/>
      <c r="U20" s="10"/>
      <c r="V20" s="10"/>
      <c r="W20" s="1"/>
    </row>
    <row r="21" spans="3:23" ht="79.5" customHeight="1" thickBot="1">
      <c r="C21" s="96"/>
      <c r="D21" s="99"/>
      <c r="E21" s="113"/>
      <c r="F21" s="110"/>
      <c r="G21" s="129"/>
      <c r="H21" s="118"/>
      <c r="I21" s="32" t="s">
        <v>46</v>
      </c>
      <c r="J21" s="134"/>
      <c r="K21" s="135"/>
      <c r="L21" s="134"/>
      <c r="M21" s="136"/>
      <c r="N21" s="131"/>
      <c r="O21" s="131"/>
      <c r="P21" s="133"/>
      <c r="Q21" s="131"/>
      <c r="R21" s="131"/>
      <c r="S21" s="133"/>
      <c r="T21" s="9"/>
      <c r="U21" s="9"/>
      <c r="V21" s="10"/>
      <c r="W21" s="1"/>
    </row>
    <row r="22" spans="3:23" ht="86.25" customHeight="1" thickBot="1">
      <c r="C22" s="96"/>
      <c r="D22" s="99"/>
      <c r="E22" s="114"/>
      <c r="F22" s="111"/>
      <c r="G22" s="122"/>
      <c r="H22" s="92"/>
      <c r="I22" s="33" t="s">
        <v>47</v>
      </c>
      <c r="J22" s="94"/>
      <c r="K22" s="120"/>
      <c r="L22" s="94"/>
      <c r="M22" s="124"/>
      <c r="N22" s="132"/>
      <c r="O22" s="132"/>
      <c r="P22" s="116"/>
      <c r="Q22" s="132"/>
      <c r="R22" s="132"/>
      <c r="S22" s="116"/>
      <c r="T22" s="9"/>
      <c r="U22" s="9"/>
      <c r="V22" s="9"/>
      <c r="W22" s="1"/>
    </row>
    <row r="23" spans="3:23" ht="117" customHeight="1" thickBot="1">
      <c r="C23" s="96"/>
      <c r="D23" s="99"/>
      <c r="E23" s="112">
        <v>3</v>
      </c>
      <c r="F23" s="109" t="s">
        <v>48</v>
      </c>
      <c r="G23" s="70">
        <v>301</v>
      </c>
      <c r="H23" s="69" t="s">
        <v>49</v>
      </c>
      <c r="I23" s="63" t="s">
        <v>204</v>
      </c>
      <c r="J23" s="23" t="s">
        <v>50</v>
      </c>
      <c r="K23" s="29" t="s">
        <v>51</v>
      </c>
      <c r="L23" s="23" t="s">
        <v>52</v>
      </c>
      <c r="M23" s="24" t="s">
        <v>53</v>
      </c>
      <c r="N23" s="50">
        <v>0.7</v>
      </c>
      <c r="O23" s="50">
        <v>0.3</v>
      </c>
      <c r="P23" s="34">
        <f t="shared" si="0"/>
        <v>0.4285714285714286</v>
      </c>
      <c r="Q23" s="47">
        <f>30%+N23</f>
        <v>1</v>
      </c>
      <c r="R23" s="47">
        <f>30%+O23</f>
        <v>0.6</v>
      </c>
      <c r="S23" s="34">
        <f t="shared" si="1"/>
        <v>0.6</v>
      </c>
      <c r="T23" s="9"/>
      <c r="U23" s="9"/>
      <c r="V23" s="10"/>
      <c r="W23" s="38"/>
    </row>
    <row r="24" spans="3:23" ht="118.5" customHeight="1" thickBot="1">
      <c r="C24" s="96"/>
      <c r="D24" s="99"/>
      <c r="E24" s="113"/>
      <c r="F24" s="110"/>
      <c r="G24" s="105">
        <v>302</v>
      </c>
      <c r="H24" s="91" t="s">
        <v>54</v>
      </c>
      <c r="I24" s="137" t="s">
        <v>55</v>
      </c>
      <c r="J24" s="26" t="s">
        <v>56</v>
      </c>
      <c r="K24" s="30" t="s">
        <v>57</v>
      </c>
      <c r="L24" s="26" t="s">
        <v>58</v>
      </c>
      <c r="M24" s="25" t="s">
        <v>53</v>
      </c>
      <c r="N24" s="58">
        <v>0.34</v>
      </c>
      <c r="O24" s="48">
        <v>0.33800000000000002</v>
      </c>
      <c r="P24" s="34">
        <f t="shared" si="0"/>
        <v>0.99411764705882355</v>
      </c>
      <c r="Q24" s="48">
        <f>66%+N24</f>
        <v>1</v>
      </c>
      <c r="R24" s="48">
        <f>66.2%+O24</f>
        <v>1</v>
      </c>
      <c r="S24" s="34">
        <f t="shared" si="1"/>
        <v>1</v>
      </c>
      <c r="T24" s="9"/>
      <c r="U24" s="9"/>
      <c r="V24" s="9"/>
      <c r="W24" s="1"/>
    </row>
    <row r="25" spans="3:23" ht="133.5" customHeight="1" thickBot="1">
      <c r="C25" s="96"/>
      <c r="D25" s="99"/>
      <c r="E25" s="113"/>
      <c r="F25" s="110"/>
      <c r="G25" s="106"/>
      <c r="H25" s="92"/>
      <c r="I25" s="138"/>
      <c r="J25" s="26" t="s">
        <v>59</v>
      </c>
      <c r="K25" s="30" t="s">
        <v>60</v>
      </c>
      <c r="L25" s="26" t="s">
        <v>61</v>
      </c>
      <c r="M25" s="25" t="s">
        <v>53</v>
      </c>
      <c r="N25" s="49">
        <v>0</v>
      </c>
      <c r="O25" s="49">
        <v>0</v>
      </c>
      <c r="P25" s="74">
        <v>0</v>
      </c>
      <c r="Q25" s="49">
        <v>1</v>
      </c>
      <c r="R25" s="49">
        <v>0</v>
      </c>
      <c r="S25" s="34">
        <f t="shared" si="1"/>
        <v>0</v>
      </c>
      <c r="T25" s="9"/>
      <c r="U25" s="9"/>
      <c r="V25" s="9"/>
      <c r="W25" s="1"/>
    </row>
    <row r="26" spans="3:23" ht="110.25" customHeight="1" thickBot="1">
      <c r="C26" s="96"/>
      <c r="D26" s="99"/>
      <c r="E26" s="113"/>
      <c r="F26" s="110"/>
      <c r="G26" s="105">
        <v>303</v>
      </c>
      <c r="H26" s="91" t="s">
        <v>62</v>
      </c>
      <c r="I26" s="91" t="s">
        <v>205</v>
      </c>
      <c r="J26" s="93" t="s">
        <v>63</v>
      </c>
      <c r="K26" s="29" t="s">
        <v>64</v>
      </c>
      <c r="L26" s="23" t="s">
        <v>220</v>
      </c>
      <c r="M26" s="24" t="s">
        <v>65</v>
      </c>
      <c r="N26" s="50">
        <v>0.7</v>
      </c>
      <c r="O26" s="51">
        <v>0.57210000000000005</v>
      </c>
      <c r="P26" s="34">
        <f t="shared" si="0"/>
        <v>0.81728571428571439</v>
      </c>
      <c r="Q26" s="50">
        <v>0.7</v>
      </c>
      <c r="R26" s="51">
        <v>0.53849999999999998</v>
      </c>
      <c r="S26" s="34">
        <f t="shared" si="1"/>
        <v>0.76928571428571435</v>
      </c>
      <c r="T26" s="9"/>
      <c r="U26" s="9"/>
      <c r="V26" s="40"/>
      <c r="W26" s="1"/>
    </row>
    <row r="27" spans="3:23" ht="106.5" customHeight="1" thickBot="1">
      <c r="C27" s="96"/>
      <c r="D27" s="99"/>
      <c r="E27" s="113"/>
      <c r="F27" s="110"/>
      <c r="G27" s="117"/>
      <c r="H27" s="118"/>
      <c r="I27" s="118"/>
      <c r="J27" s="94"/>
      <c r="K27" s="29" t="s">
        <v>66</v>
      </c>
      <c r="L27" s="23" t="s">
        <v>219</v>
      </c>
      <c r="M27" s="24" t="s">
        <v>65</v>
      </c>
      <c r="N27" s="50">
        <v>1</v>
      </c>
      <c r="O27" s="51">
        <v>0.99350000000000005</v>
      </c>
      <c r="P27" s="34">
        <f t="shared" si="0"/>
        <v>0.99350000000000005</v>
      </c>
      <c r="Q27" s="50">
        <v>1</v>
      </c>
      <c r="R27" s="51">
        <v>0.99350000000000005</v>
      </c>
      <c r="S27" s="34">
        <f t="shared" si="1"/>
        <v>0.99350000000000005</v>
      </c>
      <c r="T27" s="9"/>
      <c r="U27" s="9"/>
      <c r="V27" s="10"/>
      <c r="W27" s="1"/>
    </row>
    <row r="28" spans="3:23" ht="120.75" customHeight="1" thickBot="1">
      <c r="C28" s="96"/>
      <c r="D28" s="99"/>
      <c r="E28" s="113"/>
      <c r="F28" s="110"/>
      <c r="G28" s="117"/>
      <c r="H28" s="118"/>
      <c r="I28" s="118"/>
      <c r="J28" s="23" t="s">
        <v>201</v>
      </c>
      <c r="K28" s="29" t="s">
        <v>67</v>
      </c>
      <c r="L28" s="23" t="s">
        <v>68</v>
      </c>
      <c r="M28" s="24" t="s">
        <v>29</v>
      </c>
      <c r="N28" s="45">
        <v>1</v>
      </c>
      <c r="O28" s="45">
        <v>2</v>
      </c>
      <c r="P28" s="34">
        <f t="shared" si="0"/>
        <v>2</v>
      </c>
      <c r="Q28" s="45">
        <f>3+N28</f>
        <v>4</v>
      </c>
      <c r="R28" s="45">
        <f>1+O28</f>
        <v>3</v>
      </c>
      <c r="S28" s="34">
        <f t="shared" si="1"/>
        <v>0.75</v>
      </c>
      <c r="T28" s="9"/>
      <c r="U28" s="9"/>
      <c r="V28" s="1"/>
    </row>
    <row r="29" spans="3:23" ht="160.5" customHeight="1" thickBot="1">
      <c r="C29" s="96"/>
      <c r="D29" s="99"/>
      <c r="E29" s="113"/>
      <c r="F29" s="110"/>
      <c r="G29" s="117"/>
      <c r="H29" s="118"/>
      <c r="I29" s="118"/>
      <c r="J29" s="65" t="s">
        <v>192</v>
      </c>
      <c r="K29" s="29" t="s">
        <v>69</v>
      </c>
      <c r="L29" s="23" t="s">
        <v>70</v>
      </c>
      <c r="M29" s="24" t="s">
        <v>29</v>
      </c>
      <c r="N29" s="45">
        <v>12</v>
      </c>
      <c r="O29" s="45">
        <v>12</v>
      </c>
      <c r="P29" s="34">
        <f t="shared" si="0"/>
        <v>1</v>
      </c>
      <c r="Q29" s="45">
        <f>36+N29</f>
        <v>48</v>
      </c>
      <c r="R29" s="45">
        <f>19+O29</f>
        <v>31</v>
      </c>
      <c r="S29" s="34">
        <f t="shared" si="1"/>
        <v>0.64583333333333337</v>
      </c>
      <c r="T29" s="9"/>
      <c r="U29" s="9"/>
      <c r="V29" s="10"/>
      <c r="W29" s="1"/>
    </row>
    <row r="30" spans="3:23" ht="113.25" customHeight="1" thickBot="1">
      <c r="C30" s="96"/>
      <c r="D30" s="99"/>
      <c r="E30" s="113"/>
      <c r="F30" s="110"/>
      <c r="G30" s="106"/>
      <c r="H30" s="92"/>
      <c r="I30" s="92"/>
      <c r="J30" s="23" t="s">
        <v>71</v>
      </c>
      <c r="K30" s="29" t="s">
        <v>72</v>
      </c>
      <c r="L30" s="23" t="s">
        <v>214</v>
      </c>
      <c r="M30" s="24" t="s">
        <v>29</v>
      </c>
      <c r="N30" s="45">
        <v>0</v>
      </c>
      <c r="O30" s="45">
        <v>0</v>
      </c>
      <c r="P30" s="74">
        <v>0</v>
      </c>
      <c r="Q30" s="45">
        <v>5</v>
      </c>
      <c r="R30" s="45">
        <f>+O30</f>
        <v>0</v>
      </c>
      <c r="S30" s="34">
        <f t="shared" si="1"/>
        <v>0</v>
      </c>
      <c r="T30" s="9"/>
      <c r="U30" s="9"/>
      <c r="V30" s="10"/>
      <c r="W30" s="1"/>
    </row>
    <row r="31" spans="3:23" ht="116.25" customHeight="1" thickBot="1">
      <c r="C31" s="96"/>
      <c r="D31" s="99"/>
      <c r="E31" s="113"/>
      <c r="F31" s="110"/>
      <c r="G31" s="105">
        <v>304</v>
      </c>
      <c r="H31" s="91" t="s">
        <v>73</v>
      </c>
      <c r="I31" s="91" t="s">
        <v>206</v>
      </c>
      <c r="J31" s="23" t="s">
        <v>74</v>
      </c>
      <c r="K31" s="29" t="s">
        <v>75</v>
      </c>
      <c r="L31" s="23" t="s">
        <v>76</v>
      </c>
      <c r="M31" s="24" t="s">
        <v>29</v>
      </c>
      <c r="N31" s="45">
        <v>1</v>
      </c>
      <c r="O31" s="45">
        <v>0</v>
      </c>
      <c r="P31" s="34">
        <f t="shared" si="0"/>
        <v>0</v>
      </c>
      <c r="Q31" s="45">
        <f>+N31</f>
        <v>1</v>
      </c>
      <c r="R31" s="45">
        <f>+O31</f>
        <v>0</v>
      </c>
      <c r="S31" s="34">
        <f t="shared" si="1"/>
        <v>0</v>
      </c>
      <c r="T31" s="9"/>
      <c r="U31" s="9"/>
      <c r="V31" s="10"/>
      <c r="W31" s="1"/>
    </row>
    <row r="32" spans="3:23" ht="110.25" customHeight="1" thickBot="1">
      <c r="C32" s="96"/>
      <c r="D32" s="99"/>
      <c r="E32" s="113"/>
      <c r="F32" s="110"/>
      <c r="G32" s="117"/>
      <c r="H32" s="118"/>
      <c r="I32" s="118"/>
      <c r="J32" s="93" t="s">
        <v>77</v>
      </c>
      <c r="K32" s="29" t="s">
        <v>78</v>
      </c>
      <c r="L32" s="23" t="s">
        <v>79</v>
      </c>
      <c r="M32" s="24" t="s">
        <v>29</v>
      </c>
      <c r="N32" s="45">
        <v>0</v>
      </c>
      <c r="O32" s="45">
        <v>0</v>
      </c>
      <c r="P32" s="74">
        <v>0</v>
      </c>
      <c r="Q32" s="45">
        <v>1</v>
      </c>
      <c r="R32" s="45">
        <f>+O32</f>
        <v>0</v>
      </c>
      <c r="S32" s="34">
        <f t="shared" si="1"/>
        <v>0</v>
      </c>
      <c r="T32" s="9"/>
      <c r="U32" s="9"/>
      <c r="V32" s="10"/>
      <c r="W32" s="1"/>
    </row>
    <row r="33" spans="3:23" ht="104.25" customHeight="1" thickBot="1">
      <c r="C33" s="96"/>
      <c r="D33" s="99"/>
      <c r="E33" s="113"/>
      <c r="F33" s="110"/>
      <c r="G33" s="106"/>
      <c r="H33" s="92"/>
      <c r="I33" s="92"/>
      <c r="J33" s="94"/>
      <c r="K33" s="29" t="s">
        <v>80</v>
      </c>
      <c r="L33" s="23" t="s">
        <v>81</v>
      </c>
      <c r="M33" s="24" t="s">
        <v>29</v>
      </c>
      <c r="N33" s="45">
        <v>0</v>
      </c>
      <c r="O33" s="45">
        <v>0</v>
      </c>
      <c r="P33" s="73">
        <v>0</v>
      </c>
      <c r="Q33" s="45">
        <v>2</v>
      </c>
      <c r="R33" s="45">
        <v>2</v>
      </c>
      <c r="S33" s="34">
        <f t="shared" si="1"/>
        <v>1</v>
      </c>
      <c r="T33" s="9"/>
      <c r="U33" s="9"/>
      <c r="V33" s="10"/>
      <c r="W33" s="1"/>
    </row>
    <row r="34" spans="3:23" ht="91.5" customHeight="1" thickBot="1">
      <c r="C34" s="96"/>
      <c r="D34" s="99"/>
      <c r="E34" s="113"/>
      <c r="F34" s="110"/>
      <c r="G34" s="105">
        <v>305</v>
      </c>
      <c r="H34" s="91" t="s">
        <v>82</v>
      </c>
      <c r="I34" s="69" t="s">
        <v>83</v>
      </c>
      <c r="J34" s="93" t="s">
        <v>84</v>
      </c>
      <c r="K34" s="67" t="s">
        <v>85</v>
      </c>
      <c r="L34" s="23" t="s">
        <v>195</v>
      </c>
      <c r="M34" s="24" t="s">
        <v>29</v>
      </c>
      <c r="N34" s="45">
        <v>1</v>
      </c>
      <c r="O34" s="45">
        <v>3</v>
      </c>
      <c r="P34" s="34">
        <f>+O34/N34</f>
        <v>3</v>
      </c>
      <c r="Q34" s="45">
        <f>3+N34</f>
        <v>4</v>
      </c>
      <c r="R34" s="45">
        <f>1+O34</f>
        <v>4</v>
      </c>
      <c r="S34" s="34">
        <f t="shared" si="1"/>
        <v>1</v>
      </c>
      <c r="T34" s="9"/>
      <c r="U34" s="9"/>
      <c r="V34" s="10"/>
      <c r="W34" s="1"/>
    </row>
    <row r="35" spans="3:23" ht="96.75" customHeight="1" thickBot="1">
      <c r="C35" s="96"/>
      <c r="D35" s="99"/>
      <c r="E35" s="113"/>
      <c r="F35" s="110"/>
      <c r="G35" s="117"/>
      <c r="H35" s="118"/>
      <c r="I35" s="62" t="s">
        <v>86</v>
      </c>
      <c r="J35" s="134"/>
      <c r="K35" s="29" t="s">
        <v>87</v>
      </c>
      <c r="L35" s="23" t="s">
        <v>194</v>
      </c>
      <c r="M35" s="24" t="s">
        <v>29</v>
      </c>
      <c r="N35" s="45">
        <v>6</v>
      </c>
      <c r="O35" s="45">
        <v>0</v>
      </c>
      <c r="P35" s="34">
        <f t="shared" si="0"/>
        <v>0</v>
      </c>
      <c r="Q35" s="45">
        <f>19+N35</f>
        <v>25</v>
      </c>
      <c r="R35" s="45">
        <f>7+O35</f>
        <v>7</v>
      </c>
      <c r="S35" s="34">
        <f t="shared" si="1"/>
        <v>0.28000000000000003</v>
      </c>
      <c r="T35" s="9"/>
      <c r="U35" s="9"/>
      <c r="V35" s="10"/>
      <c r="W35" s="1"/>
    </row>
    <row r="36" spans="3:23" ht="100.5" customHeight="1" thickBot="1">
      <c r="C36" s="96"/>
      <c r="D36" s="99"/>
      <c r="E36" s="113"/>
      <c r="F36" s="110"/>
      <c r="G36" s="117"/>
      <c r="H36" s="118"/>
      <c r="I36" s="32" t="s">
        <v>88</v>
      </c>
      <c r="J36" s="94"/>
      <c r="K36" s="68" t="s">
        <v>89</v>
      </c>
      <c r="L36" s="65" t="s">
        <v>193</v>
      </c>
      <c r="M36" s="24" t="s">
        <v>29</v>
      </c>
      <c r="N36" s="45">
        <v>45</v>
      </c>
      <c r="O36" s="45">
        <f>18+31</f>
        <v>49</v>
      </c>
      <c r="P36" s="75">
        <f t="shared" si="0"/>
        <v>1.0888888888888888</v>
      </c>
      <c r="Q36" s="45">
        <f>135+N36</f>
        <v>180</v>
      </c>
      <c r="R36" s="45">
        <f>45+O36</f>
        <v>94</v>
      </c>
      <c r="S36" s="34">
        <f t="shared" si="1"/>
        <v>0.52222222222222225</v>
      </c>
      <c r="T36" s="9"/>
      <c r="U36" s="9"/>
      <c r="V36" s="10"/>
      <c r="W36" s="1"/>
    </row>
    <row r="37" spans="3:23" ht="102" customHeight="1" thickBot="1">
      <c r="C37" s="96"/>
      <c r="D37" s="99"/>
      <c r="E37" s="113"/>
      <c r="F37" s="110"/>
      <c r="G37" s="106"/>
      <c r="H37" s="92"/>
      <c r="I37" s="62" t="s">
        <v>90</v>
      </c>
      <c r="J37" s="65" t="s">
        <v>196</v>
      </c>
      <c r="K37" s="68" t="s">
        <v>91</v>
      </c>
      <c r="L37" s="23" t="s">
        <v>209</v>
      </c>
      <c r="M37" s="24" t="s">
        <v>29</v>
      </c>
      <c r="N37" s="45">
        <v>0</v>
      </c>
      <c r="O37" s="45">
        <v>0</v>
      </c>
      <c r="P37" s="76">
        <v>0</v>
      </c>
      <c r="Q37" s="45">
        <v>1</v>
      </c>
      <c r="R37" s="45">
        <f>+O37</f>
        <v>0</v>
      </c>
      <c r="S37" s="34">
        <f t="shared" si="1"/>
        <v>0</v>
      </c>
      <c r="T37" s="9"/>
      <c r="U37" s="9"/>
      <c r="V37" s="10"/>
      <c r="W37" s="1"/>
    </row>
    <row r="38" spans="3:23" ht="66" customHeight="1" thickBot="1">
      <c r="C38" s="96"/>
      <c r="D38" s="99"/>
      <c r="E38" s="113"/>
      <c r="F38" s="110"/>
      <c r="G38" s="105">
        <v>306</v>
      </c>
      <c r="H38" s="91" t="s">
        <v>188</v>
      </c>
      <c r="I38" s="62" t="s">
        <v>92</v>
      </c>
      <c r="J38" s="93" t="s">
        <v>93</v>
      </c>
      <c r="K38" s="119" t="s">
        <v>94</v>
      </c>
      <c r="L38" s="93" t="s">
        <v>208</v>
      </c>
      <c r="M38" s="123" t="s">
        <v>29</v>
      </c>
      <c r="N38" s="130">
        <v>0</v>
      </c>
      <c r="O38" s="130">
        <v>0</v>
      </c>
      <c r="P38" s="161">
        <v>0</v>
      </c>
      <c r="Q38" s="130">
        <v>2</v>
      </c>
      <c r="R38" s="130">
        <f>1+O38</f>
        <v>1</v>
      </c>
      <c r="S38" s="115">
        <f t="shared" si="1"/>
        <v>0.5</v>
      </c>
      <c r="T38" s="9"/>
      <c r="U38" s="9"/>
      <c r="V38" s="10"/>
      <c r="W38" s="1"/>
    </row>
    <row r="39" spans="3:23" ht="75.75" customHeight="1" thickBot="1">
      <c r="C39" s="96"/>
      <c r="D39" s="99"/>
      <c r="E39" s="113"/>
      <c r="F39" s="110"/>
      <c r="G39" s="117"/>
      <c r="H39" s="118"/>
      <c r="I39" s="32" t="s">
        <v>95</v>
      </c>
      <c r="J39" s="134"/>
      <c r="K39" s="135"/>
      <c r="L39" s="134"/>
      <c r="M39" s="136"/>
      <c r="N39" s="131"/>
      <c r="O39" s="131"/>
      <c r="P39" s="161"/>
      <c r="Q39" s="131"/>
      <c r="R39" s="131"/>
      <c r="S39" s="133"/>
      <c r="T39" s="9"/>
      <c r="U39" s="9"/>
      <c r="V39" s="10"/>
      <c r="W39" s="1"/>
    </row>
    <row r="40" spans="3:23" ht="76.5" customHeight="1" thickBot="1">
      <c r="C40" s="96"/>
      <c r="D40" s="99"/>
      <c r="E40" s="113"/>
      <c r="F40" s="110"/>
      <c r="G40" s="106"/>
      <c r="H40" s="92"/>
      <c r="I40" s="63" t="s">
        <v>96</v>
      </c>
      <c r="J40" s="94"/>
      <c r="K40" s="120"/>
      <c r="L40" s="94"/>
      <c r="M40" s="124"/>
      <c r="N40" s="132"/>
      <c r="O40" s="132"/>
      <c r="P40" s="162"/>
      <c r="Q40" s="132"/>
      <c r="R40" s="132"/>
      <c r="S40" s="116"/>
      <c r="T40" s="9"/>
      <c r="U40" s="9"/>
      <c r="V40" s="10"/>
      <c r="W40" s="1"/>
    </row>
    <row r="41" spans="3:23" ht="94.5" customHeight="1" thickBot="1">
      <c r="C41" s="96"/>
      <c r="D41" s="99"/>
      <c r="E41" s="113"/>
      <c r="F41" s="110"/>
      <c r="G41" s="105">
        <v>307</v>
      </c>
      <c r="H41" s="91" t="s">
        <v>189</v>
      </c>
      <c r="I41" s="91" t="s">
        <v>97</v>
      </c>
      <c r="J41" s="23" t="s">
        <v>98</v>
      </c>
      <c r="K41" s="29" t="s">
        <v>99</v>
      </c>
      <c r="L41" s="23" t="s">
        <v>100</v>
      </c>
      <c r="M41" s="24" t="s">
        <v>101</v>
      </c>
      <c r="N41" s="45">
        <v>1</v>
      </c>
      <c r="O41" s="45">
        <v>0</v>
      </c>
      <c r="P41" s="34">
        <f t="shared" si="0"/>
        <v>0</v>
      </c>
      <c r="Q41" s="45">
        <f>+N41</f>
        <v>1</v>
      </c>
      <c r="R41" s="45">
        <f>+O41</f>
        <v>0</v>
      </c>
      <c r="S41" s="34">
        <f t="shared" si="1"/>
        <v>0</v>
      </c>
      <c r="T41" s="9"/>
      <c r="U41" s="9"/>
      <c r="V41" s="10"/>
      <c r="W41" s="1"/>
    </row>
    <row r="42" spans="3:23" ht="136.5" customHeight="1" thickBot="1">
      <c r="C42" s="96"/>
      <c r="D42" s="99"/>
      <c r="E42" s="113"/>
      <c r="F42" s="110"/>
      <c r="G42" s="117"/>
      <c r="H42" s="118"/>
      <c r="I42" s="92"/>
      <c r="J42" s="64" t="s">
        <v>102</v>
      </c>
      <c r="K42" s="29" t="s">
        <v>103</v>
      </c>
      <c r="L42" s="23" t="s">
        <v>197</v>
      </c>
      <c r="M42" s="24" t="s">
        <v>104</v>
      </c>
      <c r="N42" s="47">
        <v>0.188</v>
      </c>
      <c r="O42" s="47">
        <v>0</v>
      </c>
      <c r="P42" s="34">
        <f t="shared" si="0"/>
        <v>0</v>
      </c>
      <c r="Q42" s="47">
        <f>81.2%+N42</f>
        <v>1</v>
      </c>
      <c r="R42" s="51">
        <f>62.6%+O42</f>
        <v>0.626</v>
      </c>
      <c r="S42" s="34">
        <f t="shared" si="1"/>
        <v>0.626</v>
      </c>
      <c r="T42" s="9"/>
      <c r="U42" s="9"/>
      <c r="V42" s="10"/>
      <c r="W42" s="1"/>
    </row>
    <row r="43" spans="3:23" ht="115.5" customHeight="1" thickBot="1">
      <c r="C43" s="96"/>
      <c r="D43" s="99"/>
      <c r="E43" s="113"/>
      <c r="F43" s="110"/>
      <c r="G43" s="117"/>
      <c r="H43" s="118"/>
      <c r="I43" s="91" t="s">
        <v>207</v>
      </c>
      <c r="J43" s="93" t="s">
        <v>105</v>
      </c>
      <c r="K43" s="29" t="s">
        <v>106</v>
      </c>
      <c r="L43" s="23" t="s">
        <v>107</v>
      </c>
      <c r="M43" s="24" t="s">
        <v>29</v>
      </c>
      <c r="N43" s="45">
        <v>1</v>
      </c>
      <c r="O43" s="45">
        <v>2</v>
      </c>
      <c r="P43" s="34">
        <f t="shared" si="0"/>
        <v>2</v>
      </c>
      <c r="Q43" s="45">
        <f>1+N43</f>
        <v>2</v>
      </c>
      <c r="R43" s="45">
        <f>1+O43</f>
        <v>3</v>
      </c>
      <c r="S43" s="34">
        <f t="shared" si="1"/>
        <v>1.5</v>
      </c>
      <c r="T43" s="9"/>
      <c r="U43" s="9"/>
      <c r="V43" s="10"/>
      <c r="W43" s="1"/>
    </row>
    <row r="44" spans="3:23" ht="117" customHeight="1" thickBot="1">
      <c r="C44" s="96"/>
      <c r="D44" s="99"/>
      <c r="E44" s="113"/>
      <c r="F44" s="110"/>
      <c r="G44" s="106"/>
      <c r="H44" s="92"/>
      <c r="I44" s="92"/>
      <c r="J44" s="94"/>
      <c r="K44" s="29" t="s">
        <v>108</v>
      </c>
      <c r="L44" s="23" t="s">
        <v>109</v>
      </c>
      <c r="M44" s="24" t="s">
        <v>29</v>
      </c>
      <c r="N44" s="45">
        <v>1</v>
      </c>
      <c r="O44" s="45">
        <v>1</v>
      </c>
      <c r="P44" s="34">
        <f t="shared" si="0"/>
        <v>1</v>
      </c>
      <c r="Q44" s="45">
        <f>3+N44</f>
        <v>4</v>
      </c>
      <c r="R44" s="45">
        <f>2+O44</f>
        <v>3</v>
      </c>
      <c r="S44" s="34">
        <f t="shared" si="1"/>
        <v>0.75</v>
      </c>
      <c r="T44" s="9"/>
      <c r="U44" s="9"/>
      <c r="V44" s="10"/>
      <c r="W44" s="1"/>
    </row>
    <row r="45" spans="3:23" ht="127.5" customHeight="1" thickBot="1">
      <c r="C45" s="96"/>
      <c r="D45" s="99"/>
      <c r="E45" s="113"/>
      <c r="F45" s="110"/>
      <c r="G45" s="105">
        <v>308</v>
      </c>
      <c r="H45" s="91" t="s">
        <v>110</v>
      </c>
      <c r="I45" s="62" t="s">
        <v>111</v>
      </c>
      <c r="J45" s="93" t="s">
        <v>112</v>
      </c>
      <c r="K45" s="29" t="s">
        <v>113</v>
      </c>
      <c r="L45" s="23" t="s">
        <v>114</v>
      </c>
      <c r="M45" s="24" t="s">
        <v>53</v>
      </c>
      <c r="N45" s="51">
        <f>19.38%-0.15%</f>
        <v>0.1923</v>
      </c>
      <c r="O45" s="50">
        <v>0</v>
      </c>
      <c r="P45" s="34">
        <f t="shared" si="0"/>
        <v>0</v>
      </c>
      <c r="Q45" s="51">
        <f>80.77%+N45</f>
        <v>1</v>
      </c>
      <c r="R45" s="47">
        <v>0.15</v>
      </c>
      <c r="S45" s="34">
        <f t="shared" si="1"/>
        <v>0.15</v>
      </c>
      <c r="T45" s="9"/>
      <c r="U45" s="9"/>
      <c r="V45" s="11"/>
      <c r="W45" s="1"/>
    </row>
    <row r="46" spans="3:23" ht="124.5" customHeight="1" thickBot="1">
      <c r="C46" s="96"/>
      <c r="D46" s="99"/>
      <c r="E46" s="113"/>
      <c r="F46" s="110"/>
      <c r="G46" s="117"/>
      <c r="H46" s="118"/>
      <c r="I46" s="91" t="s">
        <v>115</v>
      </c>
      <c r="J46" s="134"/>
      <c r="K46" s="29" t="s">
        <v>116</v>
      </c>
      <c r="L46" s="23" t="s">
        <v>117</v>
      </c>
      <c r="M46" s="24" t="s">
        <v>29</v>
      </c>
      <c r="N46" s="45">
        <v>0</v>
      </c>
      <c r="O46" s="45">
        <v>0</v>
      </c>
      <c r="P46" s="73">
        <v>0</v>
      </c>
      <c r="Q46" s="45">
        <v>1</v>
      </c>
      <c r="R46" s="45">
        <f>+O46</f>
        <v>0</v>
      </c>
      <c r="S46" s="34">
        <f t="shared" si="1"/>
        <v>0</v>
      </c>
      <c r="T46" s="9"/>
      <c r="U46" s="9"/>
      <c r="V46" s="11"/>
      <c r="W46" s="1"/>
    </row>
    <row r="47" spans="3:23" ht="110.25" customHeight="1" thickBot="1">
      <c r="C47" s="96"/>
      <c r="D47" s="99"/>
      <c r="E47" s="113"/>
      <c r="F47" s="110"/>
      <c r="G47" s="117"/>
      <c r="H47" s="118"/>
      <c r="I47" s="118"/>
      <c r="J47" s="134"/>
      <c r="K47" s="29" t="s">
        <v>118</v>
      </c>
      <c r="L47" s="23" t="s">
        <v>119</v>
      </c>
      <c r="M47" s="24" t="s">
        <v>120</v>
      </c>
      <c r="N47" s="50">
        <v>1</v>
      </c>
      <c r="O47" s="50">
        <v>1</v>
      </c>
      <c r="P47" s="34">
        <f t="shared" si="0"/>
        <v>1</v>
      </c>
      <c r="Q47" s="50">
        <v>1</v>
      </c>
      <c r="R47" s="50">
        <v>1</v>
      </c>
      <c r="S47" s="34">
        <f t="shared" si="1"/>
        <v>1</v>
      </c>
      <c r="T47" s="9"/>
      <c r="U47" s="9"/>
      <c r="V47" s="10"/>
      <c r="W47" s="1"/>
    </row>
    <row r="48" spans="3:23" ht="123" customHeight="1" thickBot="1">
      <c r="C48" s="96"/>
      <c r="D48" s="99"/>
      <c r="E48" s="113"/>
      <c r="F48" s="110"/>
      <c r="G48" s="117"/>
      <c r="H48" s="118"/>
      <c r="I48" s="118"/>
      <c r="J48" s="94"/>
      <c r="K48" s="29" t="s">
        <v>121</v>
      </c>
      <c r="L48" s="23" t="s">
        <v>199</v>
      </c>
      <c r="M48" s="24" t="s">
        <v>120</v>
      </c>
      <c r="N48" s="50">
        <v>1</v>
      </c>
      <c r="O48" s="50">
        <v>0.85</v>
      </c>
      <c r="P48" s="34">
        <f t="shared" si="0"/>
        <v>0.85</v>
      </c>
      <c r="Q48" s="50">
        <v>1</v>
      </c>
      <c r="R48" s="51">
        <f>+(100%+100%+100%+O48)/4</f>
        <v>0.96250000000000002</v>
      </c>
      <c r="S48" s="34">
        <f t="shared" si="1"/>
        <v>0.96250000000000002</v>
      </c>
      <c r="T48" s="9"/>
      <c r="U48" s="9"/>
      <c r="V48" s="10"/>
      <c r="W48" s="1"/>
    </row>
    <row r="49" spans="3:23" ht="99" customHeight="1" thickBot="1">
      <c r="C49" s="96"/>
      <c r="D49" s="99"/>
      <c r="E49" s="113"/>
      <c r="F49" s="110"/>
      <c r="G49" s="117"/>
      <c r="H49" s="118"/>
      <c r="I49" s="118"/>
      <c r="J49" s="65" t="s">
        <v>198</v>
      </c>
      <c r="K49" s="68" t="s">
        <v>122</v>
      </c>
      <c r="L49" s="65" t="s">
        <v>123</v>
      </c>
      <c r="M49" s="66" t="s">
        <v>29</v>
      </c>
      <c r="N49" s="71">
        <v>0</v>
      </c>
      <c r="O49" s="71">
        <v>0</v>
      </c>
      <c r="P49" s="73">
        <v>0</v>
      </c>
      <c r="Q49" s="71">
        <v>1</v>
      </c>
      <c r="R49" s="71">
        <f>+O49</f>
        <v>0</v>
      </c>
      <c r="S49" s="34">
        <f t="shared" si="1"/>
        <v>0</v>
      </c>
      <c r="T49" s="9"/>
      <c r="U49" s="9"/>
      <c r="V49" s="10"/>
      <c r="W49" s="1"/>
    </row>
    <row r="50" spans="3:23" ht="120" customHeight="1" thickBot="1">
      <c r="C50" s="96"/>
      <c r="D50" s="99"/>
      <c r="E50" s="113"/>
      <c r="F50" s="110"/>
      <c r="G50" s="117"/>
      <c r="H50" s="118"/>
      <c r="I50" s="118"/>
      <c r="J50" s="23" t="s">
        <v>202</v>
      </c>
      <c r="K50" s="29" t="s">
        <v>124</v>
      </c>
      <c r="L50" s="23" t="s">
        <v>125</v>
      </c>
      <c r="M50" s="24" t="s">
        <v>29</v>
      </c>
      <c r="N50" s="45">
        <v>1</v>
      </c>
      <c r="O50" s="45">
        <v>0</v>
      </c>
      <c r="P50" s="34">
        <f t="shared" si="0"/>
        <v>0</v>
      </c>
      <c r="Q50" s="45">
        <f>+N50</f>
        <v>1</v>
      </c>
      <c r="R50" s="45">
        <f>+O50</f>
        <v>0</v>
      </c>
      <c r="S50" s="34">
        <f t="shared" si="1"/>
        <v>0</v>
      </c>
      <c r="T50" s="9"/>
      <c r="U50" s="9"/>
      <c r="V50" s="10"/>
      <c r="W50" s="1"/>
    </row>
    <row r="51" spans="3:23" ht="109.5" customHeight="1" thickBot="1">
      <c r="C51" s="96"/>
      <c r="D51" s="99"/>
      <c r="E51" s="113"/>
      <c r="F51" s="110"/>
      <c r="G51" s="106"/>
      <c r="H51" s="92"/>
      <c r="I51" s="92"/>
      <c r="J51" s="23" t="s">
        <v>200</v>
      </c>
      <c r="K51" s="29" t="s">
        <v>126</v>
      </c>
      <c r="L51" s="23" t="s">
        <v>127</v>
      </c>
      <c r="M51" s="24" t="s">
        <v>104</v>
      </c>
      <c r="N51" s="51">
        <v>0.32150000000000001</v>
      </c>
      <c r="O51" s="47">
        <f>10%+22.5%</f>
        <v>0.32500000000000001</v>
      </c>
      <c r="P51" s="34">
        <f t="shared" si="0"/>
        <v>1.0108864696734059</v>
      </c>
      <c r="Q51" s="50">
        <f>67.85%+N51</f>
        <v>1</v>
      </c>
      <c r="R51" s="51">
        <f>+O51</f>
        <v>0.32500000000000001</v>
      </c>
      <c r="S51" s="34">
        <f t="shared" si="1"/>
        <v>0.32500000000000001</v>
      </c>
      <c r="T51" s="9"/>
      <c r="U51" s="9"/>
      <c r="V51" s="10"/>
      <c r="W51" s="1"/>
    </row>
    <row r="52" spans="3:23" ht="123" customHeight="1" thickBot="1">
      <c r="C52" s="96"/>
      <c r="D52" s="99"/>
      <c r="E52" s="113"/>
      <c r="F52" s="110"/>
      <c r="G52" s="105">
        <v>309</v>
      </c>
      <c r="H52" s="91" t="s">
        <v>128</v>
      </c>
      <c r="I52" s="91" t="s">
        <v>129</v>
      </c>
      <c r="J52" s="23" t="s">
        <v>130</v>
      </c>
      <c r="K52" s="29" t="s">
        <v>131</v>
      </c>
      <c r="L52" s="23" t="s">
        <v>132</v>
      </c>
      <c r="M52" s="24" t="s">
        <v>29</v>
      </c>
      <c r="N52" s="45">
        <v>0</v>
      </c>
      <c r="O52" s="45">
        <v>1</v>
      </c>
      <c r="P52" s="34">
        <v>1</v>
      </c>
      <c r="Q52" s="45">
        <v>2</v>
      </c>
      <c r="R52" s="45">
        <f>1+O52</f>
        <v>2</v>
      </c>
      <c r="S52" s="34">
        <f t="shared" si="1"/>
        <v>1</v>
      </c>
      <c r="T52" s="13"/>
      <c r="U52" s="13"/>
      <c r="V52" s="14"/>
      <c r="W52" s="1"/>
    </row>
    <row r="53" spans="3:23" ht="141.75" customHeight="1" thickBot="1">
      <c r="C53" s="96"/>
      <c r="D53" s="99"/>
      <c r="E53" s="113"/>
      <c r="F53" s="110"/>
      <c r="G53" s="117"/>
      <c r="H53" s="118"/>
      <c r="I53" s="118"/>
      <c r="J53" s="23" t="s">
        <v>133</v>
      </c>
      <c r="K53" s="29" t="s">
        <v>134</v>
      </c>
      <c r="L53" s="23" t="s">
        <v>135</v>
      </c>
      <c r="M53" s="24" t="s">
        <v>29</v>
      </c>
      <c r="N53" s="45">
        <v>1</v>
      </c>
      <c r="O53" s="45">
        <v>3</v>
      </c>
      <c r="P53" s="34">
        <f t="shared" si="0"/>
        <v>3</v>
      </c>
      <c r="Q53" s="45">
        <f>2+N53</f>
        <v>3</v>
      </c>
      <c r="R53" s="45">
        <f>+O53</f>
        <v>3</v>
      </c>
      <c r="S53" s="34">
        <f t="shared" si="1"/>
        <v>1</v>
      </c>
      <c r="T53" s="13"/>
      <c r="U53" s="13"/>
      <c r="V53" s="14"/>
      <c r="W53" s="1"/>
    </row>
    <row r="54" spans="3:23" ht="101.25" customHeight="1" thickBot="1">
      <c r="C54" s="96"/>
      <c r="D54" s="99"/>
      <c r="E54" s="113"/>
      <c r="F54" s="110"/>
      <c r="G54" s="117"/>
      <c r="H54" s="118"/>
      <c r="I54" s="118"/>
      <c r="J54" s="23" t="s">
        <v>136</v>
      </c>
      <c r="K54" s="29" t="s">
        <v>137</v>
      </c>
      <c r="L54" s="23" t="s">
        <v>138</v>
      </c>
      <c r="M54" s="24" t="s">
        <v>29</v>
      </c>
      <c r="N54" s="45">
        <v>3</v>
      </c>
      <c r="O54" s="45">
        <v>0</v>
      </c>
      <c r="P54" s="34">
        <f t="shared" si="0"/>
        <v>0</v>
      </c>
      <c r="Q54" s="45">
        <f>9+N54</f>
        <v>12</v>
      </c>
      <c r="R54" s="45">
        <f>+O54</f>
        <v>0</v>
      </c>
      <c r="S54" s="34">
        <f t="shared" si="1"/>
        <v>0</v>
      </c>
      <c r="T54" s="13"/>
      <c r="U54" s="13"/>
      <c r="V54" s="14"/>
      <c r="W54" s="1"/>
    </row>
    <row r="55" spans="3:23" ht="123.75" customHeight="1" thickBot="1">
      <c r="C55" s="96"/>
      <c r="D55" s="99"/>
      <c r="E55" s="113"/>
      <c r="F55" s="110"/>
      <c r="G55" s="117"/>
      <c r="H55" s="118"/>
      <c r="I55" s="118"/>
      <c r="J55" s="23" t="s">
        <v>139</v>
      </c>
      <c r="K55" s="29" t="s">
        <v>140</v>
      </c>
      <c r="L55" s="23" t="s">
        <v>129</v>
      </c>
      <c r="M55" s="24" t="s">
        <v>29</v>
      </c>
      <c r="N55" s="45">
        <v>0</v>
      </c>
      <c r="O55" s="45">
        <v>3</v>
      </c>
      <c r="P55" s="34">
        <v>1</v>
      </c>
      <c r="Q55" s="45">
        <v>3</v>
      </c>
      <c r="R55" s="45">
        <f>+O55</f>
        <v>3</v>
      </c>
      <c r="S55" s="34">
        <f t="shared" si="1"/>
        <v>1</v>
      </c>
      <c r="T55" s="13"/>
      <c r="U55" s="13"/>
      <c r="V55" s="14"/>
      <c r="W55" s="1"/>
    </row>
    <row r="56" spans="3:23" ht="84.75" customHeight="1" thickBot="1">
      <c r="C56" s="96"/>
      <c r="D56" s="99"/>
      <c r="E56" s="113"/>
      <c r="F56" s="110"/>
      <c r="G56" s="117"/>
      <c r="H56" s="118"/>
      <c r="I56" s="118"/>
      <c r="J56" s="93" t="s">
        <v>141</v>
      </c>
      <c r="K56" s="29" t="s">
        <v>142</v>
      </c>
      <c r="L56" s="23" t="s">
        <v>143</v>
      </c>
      <c r="M56" s="24" t="s">
        <v>29</v>
      </c>
      <c r="N56" s="45">
        <v>5</v>
      </c>
      <c r="O56" s="45">
        <v>0</v>
      </c>
      <c r="P56" s="34">
        <f t="shared" si="0"/>
        <v>0</v>
      </c>
      <c r="Q56" s="45">
        <f>15+N56</f>
        <v>20</v>
      </c>
      <c r="R56" s="45">
        <f>+O56</f>
        <v>0</v>
      </c>
      <c r="S56" s="34">
        <f t="shared" si="1"/>
        <v>0</v>
      </c>
      <c r="T56" s="13"/>
      <c r="U56" s="13"/>
      <c r="V56" s="14"/>
      <c r="W56" s="1"/>
    </row>
    <row r="57" spans="3:23" ht="133.5" customHeight="1" thickBot="1">
      <c r="C57" s="96"/>
      <c r="D57" s="99"/>
      <c r="E57" s="113"/>
      <c r="F57" s="110"/>
      <c r="G57" s="117"/>
      <c r="H57" s="118"/>
      <c r="I57" s="118"/>
      <c r="J57" s="134"/>
      <c r="K57" s="29" t="s">
        <v>144</v>
      </c>
      <c r="L57" s="23" t="s">
        <v>145</v>
      </c>
      <c r="M57" s="24" t="s">
        <v>146</v>
      </c>
      <c r="N57" s="45">
        <v>8</v>
      </c>
      <c r="O57" s="45">
        <v>8</v>
      </c>
      <c r="P57" s="34">
        <f>+N57/O57</f>
        <v>1</v>
      </c>
      <c r="Q57" s="45">
        <v>8</v>
      </c>
      <c r="R57" s="52">
        <v>7.5</v>
      </c>
      <c r="S57" s="34">
        <f>+Q57/R57</f>
        <v>1.0666666666666667</v>
      </c>
      <c r="T57" s="13"/>
      <c r="U57" s="13"/>
      <c r="V57" s="14"/>
      <c r="W57" s="1"/>
    </row>
    <row r="58" spans="3:23" ht="117" customHeight="1" thickBot="1">
      <c r="C58" s="96"/>
      <c r="D58" s="99"/>
      <c r="E58" s="113"/>
      <c r="F58" s="110"/>
      <c r="G58" s="117"/>
      <c r="H58" s="118"/>
      <c r="I58" s="118"/>
      <c r="J58" s="94"/>
      <c r="K58" s="29" t="s">
        <v>147</v>
      </c>
      <c r="L58" s="23" t="s">
        <v>148</v>
      </c>
      <c r="M58" s="24" t="s">
        <v>149</v>
      </c>
      <c r="N58" s="50">
        <v>1</v>
      </c>
      <c r="O58" s="50">
        <v>0.95</v>
      </c>
      <c r="P58" s="34">
        <f t="shared" si="0"/>
        <v>0.95</v>
      </c>
      <c r="Q58" s="50">
        <v>1</v>
      </c>
      <c r="R58" s="53">
        <f>+O58</f>
        <v>0.95</v>
      </c>
      <c r="S58" s="34">
        <f t="shared" si="1"/>
        <v>0.95</v>
      </c>
      <c r="T58" s="13"/>
      <c r="U58" s="13"/>
      <c r="V58" s="14"/>
      <c r="W58" s="1"/>
    </row>
    <row r="59" spans="3:23" ht="113.25" customHeight="1" thickBot="1">
      <c r="C59" s="96"/>
      <c r="D59" s="99"/>
      <c r="E59" s="113"/>
      <c r="F59" s="110"/>
      <c r="G59" s="117"/>
      <c r="H59" s="118"/>
      <c r="I59" s="118"/>
      <c r="J59" s="23" t="s">
        <v>150</v>
      </c>
      <c r="K59" s="29" t="s">
        <v>151</v>
      </c>
      <c r="L59" s="23" t="s">
        <v>152</v>
      </c>
      <c r="M59" s="24" t="s">
        <v>153</v>
      </c>
      <c r="N59" s="50">
        <v>0</v>
      </c>
      <c r="O59" s="50">
        <v>0</v>
      </c>
      <c r="P59" s="73">
        <v>0</v>
      </c>
      <c r="Q59" s="50">
        <v>1</v>
      </c>
      <c r="R59" s="54">
        <v>1</v>
      </c>
      <c r="S59" s="34">
        <f t="shared" si="1"/>
        <v>1</v>
      </c>
      <c r="T59" s="13"/>
      <c r="U59" s="13"/>
      <c r="V59" s="14"/>
      <c r="W59" s="1"/>
    </row>
    <row r="60" spans="3:23" ht="168.75" customHeight="1" thickBot="1">
      <c r="C60" s="96"/>
      <c r="D60" s="99"/>
      <c r="E60" s="113"/>
      <c r="F60" s="110"/>
      <c r="G60" s="117"/>
      <c r="H60" s="118"/>
      <c r="I60" s="118"/>
      <c r="J60" s="23" t="s">
        <v>154</v>
      </c>
      <c r="K60" s="29" t="s">
        <v>155</v>
      </c>
      <c r="L60" s="23" t="s">
        <v>156</v>
      </c>
      <c r="M60" s="24" t="s">
        <v>29</v>
      </c>
      <c r="N60" s="45">
        <v>600</v>
      </c>
      <c r="O60" s="45">
        <v>0</v>
      </c>
      <c r="P60" s="34">
        <f t="shared" si="0"/>
        <v>0</v>
      </c>
      <c r="Q60" s="45">
        <f>1400+N60</f>
        <v>2000</v>
      </c>
      <c r="R60" s="55">
        <f>907+O60</f>
        <v>907</v>
      </c>
      <c r="S60" s="34">
        <f t="shared" si="1"/>
        <v>0.45350000000000001</v>
      </c>
      <c r="T60" s="13"/>
      <c r="U60" s="13"/>
      <c r="V60" s="14"/>
      <c r="W60" s="1"/>
    </row>
    <row r="61" spans="3:23" ht="177" customHeight="1" thickBot="1">
      <c r="C61" s="96"/>
      <c r="D61" s="99"/>
      <c r="E61" s="113"/>
      <c r="F61" s="110"/>
      <c r="G61" s="117"/>
      <c r="H61" s="118"/>
      <c r="I61" s="118"/>
      <c r="J61" s="23" t="s">
        <v>157</v>
      </c>
      <c r="K61" s="29" t="s">
        <v>158</v>
      </c>
      <c r="L61" s="23" t="s">
        <v>159</v>
      </c>
      <c r="M61" s="24" t="s">
        <v>160</v>
      </c>
      <c r="N61" s="50">
        <v>0</v>
      </c>
      <c r="O61" s="50">
        <v>0</v>
      </c>
      <c r="P61" s="73">
        <v>0</v>
      </c>
      <c r="Q61" s="50">
        <v>1</v>
      </c>
      <c r="R61" s="56">
        <f>86%+O61</f>
        <v>0.86</v>
      </c>
      <c r="S61" s="34">
        <f t="shared" si="1"/>
        <v>0.86</v>
      </c>
      <c r="T61" s="13"/>
      <c r="U61" s="13"/>
      <c r="V61" s="14"/>
      <c r="W61" s="1"/>
    </row>
    <row r="62" spans="3:23" ht="94.5" customHeight="1" thickBot="1">
      <c r="C62" s="96"/>
      <c r="D62" s="99"/>
      <c r="E62" s="113"/>
      <c r="F62" s="110"/>
      <c r="G62" s="117"/>
      <c r="H62" s="118"/>
      <c r="I62" s="118"/>
      <c r="J62" s="93" t="s">
        <v>161</v>
      </c>
      <c r="K62" s="29" t="s">
        <v>162</v>
      </c>
      <c r="L62" s="23" t="s">
        <v>163</v>
      </c>
      <c r="M62" s="24" t="s">
        <v>29</v>
      </c>
      <c r="N62" s="45">
        <v>900</v>
      </c>
      <c r="O62" s="45">
        <v>775</v>
      </c>
      <c r="P62" s="34">
        <f t="shared" si="0"/>
        <v>0.86111111111111116</v>
      </c>
      <c r="Q62" s="45">
        <f>2700+N62</f>
        <v>3600</v>
      </c>
      <c r="R62" s="55">
        <f>3265+O62</f>
        <v>4040</v>
      </c>
      <c r="S62" s="34">
        <f t="shared" si="1"/>
        <v>1.1222222222222222</v>
      </c>
      <c r="T62" s="13"/>
      <c r="U62" s="13"/>
      <c r="V62" s="14"/>
      <c r="W62" s="1"/>
    </row>
    <row r="63" spans="3:23" ht="129" customHeight="1" thickBot="1">
      <c r="C63" s="96"/>
      <c r="D63" s="99"/>
      <c r="E63" s="113"/>
      <c r="F63" s="110"/>
      <c r="G63" s="117"/>
      <c r="H63" s="118"/>
      <c r="I63" s="118"/>
      <c r="J63" s="94"/>
      <c r="K63" s="29" t="s">
        <v>164</v>
      </c>
      <c r="L63" s="23" t="s">
        <v>165</v>
      </c>
      <c r="M63" s="24" t="s">
        <v>166</v>
      </c>
      <c r="N63" s="50">
        <v>1</v>
      </c>
      <c r="O63" s="50">
        <v>0.98</v>
      </c>
      <c r="P63" s="34">
        <f t="shared" si="0"/>
        <v>0.98</v>
      </c>
      <c r="Q63" s="50">
        <v>1</v>
      </c>
      <c r="R63" s="56">
        <v>0.98499999999999999</v>
      </c>
      <c r="S63" s="34">
        <f t="shared" si="1"/>
        <v>0.98499999999999999</v>
      </c>
      <c r="T63" s="13"/>
      <c r="U63" s="13"/>
      <c r="V63" s="14"/>
      <c r="W63" s="1"/>
    </row>
    <row r="64" spans="3:23" ht="127.5" customHeight="1" thickBot="1">
      <c r="C64" s="96"/>
      <c r="D64" s="99"/>
      <c r="E64" s="113"/>
      <c r="F64" s="110"/>
      <c r="G64" s="117"/>
      <c r="H64" s="118"/>
      <c r="I64" s="118"/>
      <c r="J64" s="139" t="s">
        <v>167</v>
      </c>
      <c r="K64" s="29" t="s">
        <v>168</v>
      </c>
      <c r="L64" s="23" t="s">
        <v>169</v>
      </c>
      <c r="M64" s="24" t="s">
        <v>153</v>
      </c>
      <c r="N64" s="51">
        <v>0.22600000000000001</v>
      </c>
      <c r="O64" s="51">
        <v>2.4E-2</v>
      </c>
      <c r="P64" s="34">
        <f>+O64/N64</f>
        <v>0.10619469026548672</v>
      </c>
      <c r="Q64" s="47">
        <f>77.7%+N64-0.3%</f>
        <v>1.0000000000000002</v>
      </c>
      <c r="R64" s="53">
        <f>40.8%+O64</f>
        <v>0.432</v>
      </c>
      <c r="S64" s="34">
        <f t="shared" si="1"/>
        <v>0.43199999999999988</v>
      </c>
      <c r="T64" s="13"/>
      <c r="U64" s="13"/>
      <c r="V64" s="14"/>
      <c r="W64" s="1"/>
    </row>
    <row r="65" spans="1:23" ht="132" customHeight="1" thickBot="1">
      <c r="C65" s="96"/>
      <c r="D65" s="99"/>
      <c r="E65" s="114"/>
      <c r="F65" s="111"/>
      <c r="G65" s="106"/>
      <c r="H65" s="92"/>
      <c r="I65" s="92"/>
      <c r="J65" s="140"/>
      <c r="K65" s="29" t="s">
        <v>217</v>
      </c>
      <c r="L65" s="23" t="s">
        <v>218</v>
      </c>
      <c r="M65" s="24" t="s">
        <v>153</v>
      </c>
      <c r="N65" s="51">
        <v>0.72499999999999998</v>
      </c>
      <c r="O65" s="47">
        <v>2.5000000000000001E-2</v>
      </c>
      <c r="P65" s="34">
        <f>+O65/N65</f>
        <v>3.4482758620689655E-2</v>
      </c>
      <c r="Q65" s="47">
        <f>27.5%+N65</f>
        <v>1</v>
      </c>
      <c r="R65" s="56">
        <f>+O65</f>
        <v>2.5000000000000001E-2</v>
      </c>
      <c r="S65" s="34">
        <f>+R65/Q65</f>
        <v>2.5000000000000001E-2</v>
      </c>
      <c r="T65" s="13"/>
      <c r="U65" s="13"/>
      <c r="V65" s="14"/>
      <c r="W65" s="1"/>
    </row>
    <row r="66" spans="1:23" ht="132" customHeight="1" thickBot="1">
      <c r="C66" s="96"/>
      <c r="D66" s="99"/>
      <c r="E66" s="112">
        <v>4</v>
      </c>
      <c r="F66" s="109" t="s">
        <v>170</v>
      </c>
      <c r="G66" s="60">
        <v>401</v>
      </c>
      <c r="H66" s="62" t="s">
        <v>171</v>
      </c>
      <c r="I66" s="62" t="s">
        <v>172</v>
      </c>
      <c r="J66" s="27" t="s">
        <v>173</v>
      </c>
      <c r="K66" s="31" t="s">
        <v>174</v>
      </c>
      <c r="L66" s="27" t="s">
        <v>215</v>
      </c>
      <c r="M66" s="28" t="s">
        <v>29</v>
      </c>
      <c r="N66" s="57">
        <v>55</v>
      </c>
      <c r="O66" s="57">
        <v>51</v>
      </c>
      <c r="P66" s="34">
        <f t="shared" si="0"/>
        <v>0.92727272727272725</v>
      </c>
      <c r="Q66" s="57">
        <f>55+N66</f>
        <v>110</v>
      </c>
      <c r="R66" s="57">
        <f>91+O66</f>
        <v>142</v>
      </c>
      <c r="S66" s="34">
        <f t="shared" si="1"/>
        <v>1.290909090909091</v>
      </c>
      <c r="T66" s="15"/>
      <c r="U66" s="15"/>
      <c r="V66" s="16"/>
      <c r="W66" s="1"/>
    </row>
    <row r="67" spans="1:23" ht="129" customHeight="1" thickBot="1">
      <c r="C67" s="96"/>
      <c r="D67" s="99"/>
      <c r="E67" s="113"/>
      <c r="F67" s="110"/>
      <c r="G67" s="105">
        <v>402</v>
      </c>
      <c r="H67" s="91" t="s">
        <v>190</v>
      </c>
      <c r="I67" s="32" t="s">
        <v>175</v>
      </c>
      <c r="J67" s="153" t="s">
        <v>176</v>
      </c>
      <c r="K67" s="155" t="s">
        <v>177</v>
      </c>
      <c r="L67" s="157" t="s">
        <v>178</v>
      </c>
      <c r="M67" s="159" t="s">
        <v>179</v>
      </c>
      <c r="N67" s="151">
        <v>0.7</v>
      </c>
      <c r="O67" s="151">
        <v>0.68</v>
      </c>
      <c r="P67" s="115">
        <f t="shared" si="0"/>
        <v>0.97142857142857153</v>
      </c>
      <c r="Q67" s="151">
        <f>+N67</f>
        <v>0.7</v>
      </c>
      <c r="R67" s="151">
        <f>+O67</f>
        <v>0.68</v>
      </c>
      <c r="S67" s="115">
        <f t="shared" si="1"/>
        <v>0.97142857142857153</v>
      </c>
      <c r="T67" s="17"/>
      <c r="U67" s="17"/>
      <c r="V67" s="18"/>
      <c r="W67" s="1"/>
    </row>
    <row r="68" spans="1:23" ht="91.5" customHeight="1" thickBot="1">
      <c r="C68" s="96"/>
      <c r="D68" s="99"/>
      <c r="E68" s="113"/>
      <c r="F68" s="110"/>
      <c r="G68" s="106"/>
      <c r="H68" s="92"/>
      <c r="I68" s="63" t="s">
        <v>129</v>
      </c>
      <c r="J68" s="154"/>
      <c r="K68" s="156"/>
      <c r="L68" s="158"/>
      <c r="M68" s="160"/>
      <c r="N68" s="152"/>
      <c r="O68" s="152"/>
      <c r="P68" s="116"/>
      <c r="Q68" s="152"/>
      <c r="R68" s="152"/>
      <c r="S68" s="116"/>
      <c r="T68" s="17"/>
      <c r="U68" s="17"/>
      <c r="V68" s="18"/>
      <c r="W68" s="1"/>
    </row>
    <row r="69" spans="1:23" ht="121.5" customHeight="1" thickBot="1">
      <c r="C69" s="97"/>
      <c r="D69" s="100"/>
      <c r="E69" s="114"/>
      <c r="F69" s="111"/>
      <c r="G69" s="61">
        <v>403</v>
      </c>
      <c r="H69" s="63" t="s">
        <v>180</v>
      </c>
      <c r="I69" s="63" t="s">
        <v>181</v>
      </c>
      <c r="J69" s="27" t="s">
        <v>182</v>
      </c>
      <c r="K69" s="31" t="s">
        <v>183</v>
      </c>
      <c r="L69" s="27" t="s">
        <v>216</v>
      </c>
      <c r="M69" s="28" t="s">
        <v>29</v>
      </c>
      <c r="N69" s="57">
        <v>1</v>
      </c>
      <c r="O69" s="57">
        <v>2</v>
      </c>
      <c r="P69" s="35">
        <f t="shared" si="0"/>
        <v>2</v>
      </c>
      <c r="Q69" s="57">
        <f>3+N69</f>
        <v>4</v>
      </c>
      <c r="R69" s="57">
        <f>+O69</f>
        <v>2</v>
      </c>
      <c r="S69" s="35">
        <f t="shared" si="1"/>
        <v>0.5</v>
      </c>
      <c r="T69" s="15"/>
      <c r="U69" s="15"/>
      <c r="V69" s="16"/>
      <c r="W69" s="1"/>
    </row>
    <row r="70" spans="1:23" ht="12.75" customHeight="1">
      <c r="E70" s="19"/>
      <c r="F70" s="2"/>
      <c r="G70" s="1"/>
      <c r="H70" s="3"/>
      <c r="I70" s="3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1"/>
    </row>
    <row r="71" spans="1:23" s="21" customFormat="1">
      <c r="A71" s="2"/>
      <c r="B71" s="2"/>
      <c r="C71" s="2"/>
      <c r="D71" s="2"/>
      <c r="E71" s="1"/>
      <c r="F71" s="2"/>
      <c r="G71" s="1"/>
      <c r="H71" s="3"/>
      <c r="I71" s="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2"/>
    </row>
    <row r="72" spans="1:23">
      <c r="E72" s="1"/>
      <c r="F72" s="2"/>
      <c r="G72" s="1"/>
      <c r="H72" s="3"/>
      <c r="I72" s="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>
      <c r="E73" s="1"/>
      <c r="F73" s="2"/>
      <c r="G73" s="1"/>
      <c r="H73" s="3"/>
      <c r="I73" s="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</sheetData>
  <sheetProtection sheet="1" objects="1" scenarios="1"/>
  <mergeCells count="115">
    <mergeCell ref="O67:O68"/>
    <mergeCell ref="P67:P68"/>
    <mergeCell ref="Q67:Q68"/>
    <mergeCell ref="R67:R68"/>
    <mergeCell ref="S67:S68"/>
    <mergeCell ref="J67:J68"/>
    <mergeCell ref="K67:K68"/>
    <mergeCell ref="L67:L68"/>
    <mergeCell ref="M67:M68"/>
    <mergeCell ref="N67:N68"/>
    <mergeCell ref="I43:I44"/>
    <mergeCell ref="J32:J33"/>
    <mergeCell ref="E66:E69"/>
    <mergeCell ref="F66:F69"/>
    <mergeCell ref="G67:G68"/>
    <mergeCell ref="H67:H68"/>
    <mergeCell ref="G52:G65"/>
    <mergeCell ref="H52:H65"/>
    <mergeCell ref="J62:J63"/>
    <mergeCell ref="J64:J65"/>
    <mergeCell ref="I46:I51"/>
    <mergeCell ref="I52:I65"/>
    <mergeCell ref="G45:G51"/>
    <mergeCell ref="H45:H51"/>
    <mergeCell ref="J45:J48"/>
    <mergeCell ref="J56:J58"/>
    <mergeCell ref="J43:J44"/>
    <mergeCell ref="G41:G44"/>
    <mergeCell ref="H41:H44"/>
    <mergeCell ref="I41:I42"/>
    <mergeCell ref="H26:H30"/>
    <mergeCell ref="I26:I30"/>
    <mergeCell ref="Q38:Q40"/>
    <mergeCell ref="R38:R40"/>
    <mergeCell ref="S38:S40"/>
    <mergeCell ref="J38:J40"/>
    <mergeCell ref="K38:K40"/>
    <mergeCell ref="L38:L40"/>
    <mergeCell ref="M38:M40"/>
    <mergeCell ref="N38:N40"/>
    <mergeCell ref="O38:O40"/>
    <mergeCell ref="P38:P40"/>
    <mergeCell ref="Q11:Q12"/>
    <mergeCell ref="R11:R12"/>
    <mergeCell ref="S11:S12"/>
    <mergeCell ref="G18:G19"/>
    <mergeCell ref="H18:H19"/>
    <mergeCell ref="G20:G22"/>
    <mergeCell ref="H20:H22"/>
    <mergeCell ref="O16:O22"/>
    <mergeCell ref="P16:P22"/>
    <mergeCell ref="Q16:Q22"/>
    <mergeCell ref="R16:R22"/>
    <mergeCell ref="S16:S22"/>
    <mergeCell ref="J16:J22"/>
    <mergeCell ref="K16:K22"/>
    <mergeCell ref="L16:L22"/>
    <mergeCell ref="M16:M22"/>
    <mergeCell ref="N16:N22"/>
    <mergeCell ref="O11:O12"/>
    <mergeCell ref="P11:P12"/>
    <mergeCell ref="G11:G13"/>
    <mergeCell ref="H11:H13"/>
    <mergeCell ref="J11:J12"/>
    <mergeCell ref="K11:K12"/>
    <mergeCell ref="E16:E22"/>
    <mergeCell ref="F16:F22"/>
    <mergeCell ref="G16:G17"/>
    <mergeCell ref="H16:H17"/>
    <mergeCell ref="G14:G15"/>
    <mergeCell ref="H14:H15"/>
    <mergeCell ref="J14:J15"/>
    <mergeCell ref="L11:L12"/>
    <mergeCell ref="M11:M12"/>
    <mergeCell ref="N11:N12"/>
    <mergeCell ref="I9:I10"/>
    <mergeCell ref="J9:J10"/>
    <mergeCell ref="C9:C69"/>
    <mergeCell ref="D9:D69"/>
    <mergeCell ref="E9:E15"/>
    <mergeCell ref="F9:F15"/>
    <mergeCell ref="G9:G10"/>
    <mergeCell ref="H9:H10"/>
    <mergeCell ref="M7:M8"/>
    <mergeCell ref="F23:F65"/>
    <mergeCell ref="E23:E65"/>
    <mergeCell ref="G24:G25"/>
    <mergeCell ref="H24:H25"/>
    <mergeCell ref="G38:G40"/>
    <mergeCell ref="H38:H40"/>
    <mergeCell ref="G34:G37"/>
    <mergeCell ref="H34:H37"/>
    <mergeCell ref="J34:J36"/>
    <mergeCell ref="J26:J27"/>
    <mergeCell ref="G31:G33"/>
    <mergeCell ref="H31:H33"/>
    <mergeCell ref="I31:I33"/>
    <mergeCell ref="I24:I25"/>
    <mergeCell ref="G26:G30"/>
    <mergeCell ref="N7:P7"/>
    <mergeCell ref="Q7:S7"/>
    <mergeCell ref="C2:S2"/>
    <mergeCell ref="C3:S3"/>
    <mergeCell ref="C4:S4"/>
    <mergeCell ref="C6:I6"/>
    <mergeCell ref="C7:C8"/>
    <mergeCell ref="D7:D8"/>
    <mergeCell ref="E7:F7"/>
    <mergeCell ref="H7:H8"/>
    <mergeCell ref="G7:G8"/>
    <mergeCell ref="I7:I8"/>
    <mergeCell ref="J7:J8"/>
    <mergeCell ref="L7:L8"/>
    <mergeCell ref="K7:K8"/>
    <mergeCell ref="J6:S6"/>
  </mergeCells>
  <conditionalFormatting sqref="P9">
    <cfRule type="cellIs" dxfId="11" priority="10" stopIfTrue="1" operator="greaterThanOrEqual">
      <formula>80.01%</formula>
    </cfRule>
    <cfRule type="cellIs" dxfId="10" priority="11" stopIfTrue="1" operator="between">
      <formula>0.501</formula>
      <formula>0.8</formula>
    </cfRule>
    <cfRule type="cellIs" dxfId="9" priority="12" stopIfTrue="1" operator="lessThanOrEqual">
      <formula>0.5</formula>
    </cfRule>
  </conditionalFormatting>
  <conditionalFormatting sqref="S9">
    <cfRule type="cellIs" dxfId="8" priority="7" stopIfTrue="1" operator="greaterThanOrEqual">
      <formula>80.01%</formula>
    </cfRule>
    <cfRule type="cellIs" dxfId="7" priority="8" stopIfTrue="1" operator="between">
      <formula>0.501</formula>
      <formula>0.8</formula>
    </cfRule>
    <cfRule type="cellIs" dxfId="6" priority="9" stopIfTrue="1" operator="lessThanOrEqual">
      <formula>0.5</formula>
    </cfRule>
  </conditionalFormatting>
  <conditionalFormatting sqref="P10:P11 P13:P16 P23:P24 P41:P45 P69 P62:P67 P60 P50:P58 P47:P48 P34:P36 P31 P26:P29">
    <cfRule type="cellIs" dxfId="5" priority="4" stopIfTrue="1" operator="greaterThanOrEqual">
      <formula>80.01%</formula>
    </cfRule>
    <cfRule type="cellIs" dxfId="4" priority="5" stopIfTrue="1" operator="between">
      <formula>0.501</formula>
      <formula>0.8</formula>
    </cfRule>
    <cfRule type="cellIs" dxfId="3" priority="6" stopIfTrue="1" operator="lessThanOrEqual">
      <formula>0.5</formula>
    </cfRule>
  </conditionalFormatting>
  <conditionalFormatting sqref="S10:S11 S13:S16 S23:S38 S41:S67 S69">
    <cfRule type="cellIs" dxfId="2" priority="1" stopIfTrue="1" operator="greaterThanOrEqual">
      <formula>80.01%</formula>
    </cfRule>
    <cfRule type="cellIs" dxfId="1" priority="2" stopIfTrue="1" operator="between">
      <formula>0.501</formula>
      <formula>0.8</formula>
    </cfRule>
    <cfRule type="cellIs" dxfId="0" priority="3" stopIfTrue="1" operator="lessThanOrEqual">
      <formula>0.5</formula>
    </cfRule>
  </conditionalFormatting>
  <pageMargins left="0.39370078740157483" right="0.19685039370078741" top="0.59055118110236227" bottom="0.19685039370078741" header="0.31496062992125984" footer="0"/>
  <pageSetup scale="21" orientation="portrait" r:id="rId1"/>
  <headerFooter alignWithMargins="0">
    <oddFooter>Página &amp;P de &amp;F</oddFooter>
  </headerFooter>
  <rowBreaks count="2" manualBreakCount="2">
    <brk id="37" max="19" man="1"/>
    <brk id="6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OE seguimiento TIV</vt:lpstr>
      <vt:lpstr>'Matriz OE seguimiento TIV'!Área_de_impresión</vt:lpstr>
      <vt:lpstr>'Matriz OE seguimiento TIV'!Títulos_a_imprimir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I. Serrano Quintanilla</dc:creator>
  <cp:lastModifiedBy>carabia</cp:lastModifiedBy>
  <cp:lastPrinted>2018-12-20T17:42:12Z</cp:lastPrinted>
  <dcterms:created xsi:type="dcterms:W3CDTF">2017-02-27T16:12:50Z</dcterms:created>
  <dcterms:modified xsi:type="dcterms:W3CDTF">2018-12-20T19:43:50Z</dcterms:modified>
</cp:coreProperties>
</file>