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bookViews>
    <workbookView xWindow="0" yWindow="0" windowWidth="28800" windowHeight="10830" tabRatio="911"/>
  </bookViews>
  <sheets>
    <sheet name="TOTAL SANCIONADOS" sheetId="33" r:id="rId1"/>
    <sheet name="Genero y Categoria" sheetId="37" r:id="rId2"/>
    <sheet name="faltas de sancionados" sheetId="35" r:id="rId3"/>
    <sheet name="TOTALES VARIOS" sheetId="27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AF76" i="35" l="1"/>
  <c r="S76" i="35"/>
  <c r="S52" i="35"/>
  <c r="S50" i="35"/>
  <c r="S92" i="35"/>
  <c r="AE23" i="27"/>
  <c r="AE28" i="27" l="1"/>
  <c r="D19" i="27" l="1"/>
  <c r="D21" i="27"/>
  <c r="D20" i="27"/>
  <c r="D18" i="27"/>
  <c r="E17" i="27" l="1"/>
  <c r="E18" i="27"/>
  <c r="AP62" i="35"/>
  <c r="AF62" i="35"/>
  <c r="S62" i="35"/>
  <c r="S70" i="35"/>
  <c r="S88" i="35"/>
  <c r="S89" i="35"/>
  <c r="AP76" i="35"/>
  <c r="AO62" i="35"/>
  <c r="AP59" i="35"/>
  <c r="AF59" i="35"/>
  <c r="S59" i="35"/>
  <c r="S110" i="35"/>
  <c r="AP110" i="35"/>
  <c r="AF110" i="35"/>
  <c r="S60" i="35"/>
  <c r="AP47" i="35"/>
  <c r="AF47" i="35"/>
  <c r="S47" i="35"/>
  <c r="AP9" i="35"/>
  <c r="AF9" i="35"/>
  <c r="S9" i="35"/>
  <c r="AP89" i="35"/>
  <c r="AF89" i="35"/>
  <c r="S115" i="35"/>
  <c r="AN47" i="35"/>
  <c r="AP55" i="35"/>
  <c r="AF55" i="35"/>
  <c r="S55" i="35"/>
  <c r="S73" i="35"/>
  <c r="AP87" i="35"/>
  <c r="AG87" i="35"/>
  <c r="S87" i="35"/>
  <c r="T21" i="27"/>
  <c r="E19" i="27"/>
  <c r="S85" i="35"/>
  <c r="AP54" i="35"/>
  <c r="AF54" i="35"/>
  <c r="S54" i="35"/>
  <c r="AP51" i="35"/>
  <c r="AF51" i="35"/>
  <c r="S51" i="35"/>
  <c r="AF87" i="35"/>
  <c r="S90" i="35"/>
  <c r="AP125" i="35"/>
  <c r="AF125" i="35"/>
  <c r="S125" i="35"/>
  <c r="AR63" i="35"/>
  <c r="AG63" i="35"/>
  <c r="S63" i="35"/>
  <c r="S71" i="35"/>
  <c r="AO50" i="35"/>
  <c r="AP50" i="35"/>
  <c r="AF50" i="35"/>
  <c r="AP66" i="35"/>
  <c r="AF66" i="35"/>
  <c r="S66" i="35"/>
  <c r="S114" i="35"/>
  <c r="AP90" i="35"/>
  <c r="AF90" i="35"/>
  <c r="AP75" i="35"/>
  <c r="AF75" i="35"/>
  <c r="S75" i="35"/>
  <c r="AP57" i="35"/>
  <c r="AF57" i="35"/>
  <c r="S57" i="35"/>
  <c r="AO71" i="35"/>
  <c r="AF71" i="35"/>
  <c r="AP85" i="35"/>
  <c r="AF85" i="35"/>
  <c r="AN102" i="35"/>
  <c r="AF102" i="35"/>
  <c r="S102" i="35"/>
  <c r="S91" i="35"/>
  <c r="S84" i="35"/>
  <c r="E22" i="27"/>
  <c r="E20" i="27"/>
  <c r="AO110" i="35"/>
  <c r="S45" i="35"/>
  <c r="AQ75" i="35"/>
  <c r="AO129" i="35"/>
  <c r="AF129" i="35"/>
  <c r="S129" i="35"/>
  <c r="AP102" i="35"/>
  <c r="AP91" i="35"/>
  <c r="AF91" i="35"/>
  <c r="AP38" i="35"/>
  <c r="AF38" i="35"/>
  <c r="S38" i="35"/>
  <c r="U21" i="27"/>
  <c r="U19" i="27"/>
  <c r="U18" i="27"/>
  <c r="U17" i="27"/>
  <c r="P8" i="37" l="1"/>
  <c r="AO76" i="35" l="1"/>
  <c r="E27" i="27"/>
  <c r="S20" i="27" l="1"/>
  <c r="S17" i="27"/>
  <c r="R47" i="35" l="1"/>
  <c r="R9" i="35"/>
  <c r="R57" i="35"/>
  <c r="AQ9" i="35" l="1"/>
  <c r="AP63" i="35"/>
  <c r="AF63" i="35"/>
  <c r="S86" i="35"/>
  <c r="AP84" i="35"/>
  <c r="AF84" i="35"/>
  <c r="AG59" i="35"/>
  <c r="AP70" i="35"/>
  <c r="AF70" i="35"/>
  <c r="S100" i="35"/>
  <c r="AP61" i="35"/>
  <c r="AF61" i="35"/>
  <c r="S61" i="35"/>
  <c r="AR37" i="35"/>
  <c r="AF37" i="35"/>
  <c r="S37" i="35"/>
  <c r="AP103" i="35"/>
  <c r="AF103" i="35"/>
  <c r="S103" i="35"/>
  <c r="AR84" i="35"/>
  <c r="AO59" i="35"/>
  <c r="AO55" i="35"/>
  <c r="AP53" i="35"/>
  <c r="AF53" i="35"/>
  <c r="S53" i="35"/>
  <c r="AQ71" i="35"/>
  <c r="AQ85" i="35"/>
  <c r="AP71" i="35"/>
  <c r="R76" i="35" l="1"/>
  <c r="R73" i="35"/>
  <c r="R110" i="35"/>
  <c r="R92" i="35"/>
  <c r="R59" i="35"/>
  <c r="AP88" i="35"/>
  <c r="AF88" i="35"/>
  <c r="R88" i="35"/>
  <c r="AP7" i="35"/>
  <c r="AF7" i="35"/>
  <c r="R7" i="35"/>
  <c r="AQ47" i="35"/>
  <c r="AP124" i="35"/>
  <c r="AF124" i="35"/>
  <c r="R124" i="35"/>
  <c r="AP115" i="35"/>
  <c r="AF115" i="35"/>
  <c r="R115" i="35"/>
  <c r="AP73" i="35"/>
  <c r="AF73" i="35"/>
  <c r="R55" i="35"/>
  <c r="R54" i="35"/>
  <c r="R71" i="35"/>
  <c r="R89" i="35"/>
  <c r="AR85" i="35"/>
  <c r="R85" i="35"/>
  <c r="R62" i="35"/>
  <c r="R75" i="35"/>
  <c r="Q55" i="35"/>
  <c r="Q75" i="35"/>
  <c r="Q59" i="35"/>
  <c r="R66" i="35"/>
  <c r="R58" i="35"/>
  <c r="AP56" i="35"/>
  <c r="AT56" i="35" s="1"/>
  <c r="AF56" i="35"/>
  <c r="AH56" i="35" s="1"/>
  <c r="R56" i="35"/>
  <c r="Q110" i="35" l="1"/>
  <c r="AR59" i="35"/>
  <c r="Q57" i="35"/>
  <c r="Q54" i="35"/>
  <c r="Q89" i="35"/>
  <c r="AN63" i="35"/>
  <c r="Q63" i="35"/>
  <c r="Q52" i="35"/>
  <c r="Q88" i="35"/>
  <c r="Q47" i="35"/>
  <c r="Q9" i="35"/>
  <c r="Q102" i="35"/>
  <c r="Q84" i="35"/>
  <c r="AQ37" i="35" l="1"/>
  <c r="R37" i="35"/>
  <c r="AO84" i="35"/>
  <c r="R84" i="35"/>
  <c r="R63" i="35"/>
  <c r="AO60" i="35"/>
  <c r="AF60" i="35"/>
  <c r="R60" i="35"/>
  <c r="AO87" i="35"/>
  <c r="R87" i="35"/>
  <c r="AN85" i="35"/>
  <c r="Q115" i="35" l="1"/>
  <c r="Q98" i="35"/>
  <c r="AG75" i="35"/>
  <c r="Q73" i="35"/>
  <c r="Q111" i="35"/>
  <c r="AN89" i="35"/>
  <c r="AO89" i="35"/>
  <c r="Q76" i="35"/>
  <c r="Q49" i="35"/>
  <c r="Q62" i="35"/>
  <c r="AP113" i="35" l="1"/>
  <c r="AF113" i="35"/>
  <c r="S113" i="35"/>
  <c r="AO47" i="35"/>
  <c r="AN76" i="35"/>
  <c r="AN73" i="35"/>
  <c r="AG115" i="35"/>
  <c r="S117" i="35"/>
  <c r="AG76" i="35"/>
  <c r="S101" i="35"/>
  <c r="AR91" i="35" l="1"/>
  <c r="R91" i="35"/>
  <c r="AO100" i="35"/>
  <c r="AF100" i="35"/>
  <c r="R100" i="35"/>
  <c r="AO75" i="35"/>
  <c r="R90" i="35"/>
  <c r="AP105" i="35"/>
  <c r="AF105" i="35"/>
  <c r="R105" i="35"/>
  <c r="AQ88" i="35"/>
  <c r="AP104" i="35"/>
  <c r="AF104" i="35"/>
  <c r="R104" i="35"/>
  <c r="R102" i="35"/>
  <c r="Q90" i="35" l="1"/>
  <c r="Q87" i="35"/>
  <c r="Q85" i="35"/>
  <c r="Q71" i="35"/>
  <c r="AR47" i="35"/>
  <c r="Q92" i="35"/>
  <c r="AM73" i="35"/>
  <c r="AQ87" i="35"/>
  <c r="Q86" i="35"/>
  <c r="AG53" i="35"/>
  <c r="Q53" i="35"/>
  <c r="AO103" i="35" l="1"/>
  <c r="R103" i="35"/>
  <c r="AP49" i="35"/>
  <c r="AF49" i="35"/>
  <c r="R49" i="35"/>
  <c r="Q103" i="35"/>
  <c r="AO33" i="35"/>
  <c r="AF33" i="35"/>
  <c r="Q33" i="35"/>
  <c r="Q100" i="35"/>
  <c r="AP72" i="35"/>
  <c r="AF72" i="35"/>
  <c r="Q72" i="35"/>
  <c r="AG91" i="35"/>
  <c r="Q91" i="35"/>
  <c r="AG73" i="35"/>
  <c r="AO90" i="35"/>
  <c r="R53" i="35"/>
  <c r="R101" i="35"/>
  <c r="AP100" i="35"/>
  <c r="Q51" i="35"/>
  <c r="AP60" i="35"/>
  <c r="Q60" i="35"/>
  <c r="AO67" i="35" l="1"/>
  <c r="AR67" i="35"/>
  <c r="AP67" i="35"/>
  <c r="AG67" i="35"/>
  <c r="AF67" i="35"/>
  <c r="S67" i="35"/>
  <c r="AP129" i="35"/>
  <c r="AP25" i="35"/>
  <c r="AF25" i="35"/>
  <c r="S25" i="35"/>
  <c r="AO29" i="35"/>
  <c r="AR29" i="35"/>
  <c r="AP29" i="35"/>
  <c r="AG29" i="35"/>
  <c r="AF29" i="35"/>
  <c r="S29" i="35"/>
  <c r="AR110" i="35"/>
  <c r="AG110" i="35"/>
  <c r="AP150" i="35"/>
  <c r="AG150" i="35"/>
  <c r="S150" i="35"/>
  <c r="AM89" i="35"/>
  <c r="AM129" i="35"/>
  <c r="AG85" i="35"/>
  <c r="AR89" i="35"/>
  <c r="AM91" i="35"/>
  <c r="AR100" i="35"/>
  <c r="AR86" i="35"/>
  <c r="AF86" i="35"/>
  <c r="AR60" i="35"/>
  <c r="AP114" i="35"/>
  <c r="AF114" i="35"/>
  <c r="AN91" i="35" l="1"/>
  <c r="AM76" i="35"/>
  <c r="R129" i="35" l="1"/>
  <c r="R150" i="35"/>
  <c r="R130" i="35"/>
  <c r="AG129" i="35"/>
  <c r="AP145" i="35"/>
  <c r="AG145" i="35"/>
  <c r="R145" i="35"/>
  <c r="AF145" i="35" l="1"/>
  <c r="Q145" i="35"/>
  <c r="AN109" i="35"/>
  <c r="AP109" i="35"/>
  <c r="AF109" i="35"/>
  <c r="Q109" i="35"/>
  <c r="Q107" i="35"/>
  <c r="AT25" i="35"/>
  <c r="AH25" i="35"/>
  <c r="Q25" i="35"/>
  <c r="AM59" i="35"/>
  <c r="AM92" i="35"/>
  <c r="AT92" i="35" s="1"/>
  <c r="AF92" i="35"/>
  <c r="AH92" i="35" s="1"/>
  <c r="AO38" i="35"/>
  <c r="AR38" i="35"/>
  <c r="AG38" i="35"/>
  <c r="Q38" i="35"/>
  <c r="Q29" i="35"/>
  <c r="D17" i="27" l="1"/>
  <c r="C21" i="27"/>
  <c r="C19" i="27"/>
  <c r="C18" i="27"/>
  <c r="C17" i="27"/>
  <c r="E24" i="27"/>
  <c r="E21" i="27"/>
  <c r="D27" i="27" l="1"/>
  <c r="D22" i="27"/>
  <c r="C22" i="27" l="1"/>
  <c r="C20" i="27"/>
  <c r="D9" i="27" l="1"/>
  <c r="T22" i="27" l="1"/>
  <c r="T18" i="27"/>
  <c r="T17" i="27"/>
  <c r="S28" i="27"/>
  <c r="S22" i="27"/>
  <c r="S21" i="27"/>
  <c r="S19" i="27"/>
  <c r="S18" i="27"/>
  <c r="C7" i="27"/>
  <c r="D23" i="27"/>
  <c r="D30" i="27" s="1"/>
  <c r="T19" i="27"/>
  <c r="D5" i="27"/>
  <c r="AE21" i="27" l="1"/>
  <c r="E30" i="27"/>
  <c r="E23" i="27"/>
  <c r="AE19" i="27"/>
  <c r="AE18" i="27"/>
  <c r="AE17" i="27"/>
  <c r="C5" i="27"/>
  <c r="O27" i="27" l="1"/>
  <c r="C30" i="27"/>
  <c r="H29" i="27"/>
  <c r="L29" i="27"/>
  <c r="F28" i="27"/>
  <c r="F29" i="27" s="1"/>
  <c r="G28" i="27"/>
  <c r="G29" i="27" s="1"/>
  <c r="H28" i="27"/>
  <c r="I28" i="27"/>
  <c r="I29" i="27" s="1"/>
  <c r="J28" i="27"/>
  <c r="J29" i="27" s="1"/>
  <c r="K28" i="27"/>
  <c r="K29" i="27" s="1"/>
  <c r="L28" i="27"/>
  <c r="O26" i="27"/>
  <c r="O24" i="27"/>
  <c r="O23" i="27"/>
  <c r="O22" i="27" l="1"/>
  <c r="O21" i="27"/>
  <c r="O20" i="27"/>
  <c r="O19" i="27"/>
  <c r="O18" i="27"/>
  <c r="O17" i="27"/>
  <c r="B37" i="33" l="1"/>
  <c r="AD30" i="27" l="1"/>
  <c r="N25" i="27"/>
  <c r="N28" i="27" l="1"/>
  <c r="N29" i="27" s="1"/>
  <c r="AD11" i="27"/>
  <c r="AT62" i="35" l="1"/>
  <c r="AH62" i="35"/>
  <c r="AH75" i="35" l="1"/>
  <c r="N30" i="27" l="1"/>
  <c r="M25" i="27"/>
  <c r="N11" i="27"/>
  <c r="M11" i="27"/>
  <c r="O25" i="27" l="1"/>
  <c r="M28" i="27"/>
  <c r="O28" i="27" s="1"/>
  <c r="AA159" i="35"/>
  <c r="AB159" i="35"/>
  <c r="Z159" i="35"/>
  <c r="AB78" i="35"/>
  <c r="AA78" i="35"/>
  <c r="AB119" i="35"/>
  <c r="AA119" i="35"/>
  <c r="AA40" i="35"/>
  <c r="AB40" i="35"/>
  <c r="AC24" i="27"/>
  <c r="AE6" i="27"/>
  <c r="AC11" i="27"/>
  <c r="M29" i="27" l="1"/>
  <c r="AC30" i="27"/>
  <c r="O29" i="27" l="1"/>
  <c r="M30" i="27"/>
  <c r="Z119" i="35"/>
  <c r="Z40" i="35" l="1"/>
  <c r="Z78" i="35"/>
  <c r="O7" i="27"/>
  <c r="O10" i="27"/>
  <c r="O6" i="27"/>
  <c r="O5" i="27"/>
  <c r="L11" i="27"/>
  <c r="L30" i="27" l="1"/>
  <c r="AE5" i="27"/>
  <c r="AB11" i="27"/>
  <c r="AB30" i="27" l="1"/>
  <c r="P7" i="37"/>
  <c r="P9" i="37"/>
  <c r="P6" i="37"/>
  <c r="AT111" i="35" l="1"/>
  <c r="AH111" i="35"/>
  <c r="O8" i="27"/>
  <c r="K30" i="27" l="1"/>
  <c r="AA30" i="27"/>
  <c r="AT15" i="35"/>
  <c r="AH15" i="35"/>
  <c r="AT17" i="35" l="1"/>
  <c r="AH17" i="35"/>
  <c r="AT115" i="35"/>
  <c r="AH115" i="35"/>
  <c r="AH145" i="35"/>
  <c r="AT51" i="35"/>
  <c r="AH51" i="35"/>
  <c r="AE7" i="27"/>
  <c r="AE8" i="27"/>
  <c r="AE9" i="27"/>
  <c r="AE10" i="27"/>
  <c r="J30" i="27"/>
  <c r="AE29" i="27"/>
  <c r="AE24" i="27"/>
  <c r="Y30" i="27" l="1"/>
  <c r="I30" i="27"/>
  <c r="Z30" i="27"/>
  <c r="E33" i="33" l="1"/>
  <c r="AT19" i="35"/>
  <c r="AH19" i="35"/>
  <c r="AT72" i="35"/>
  <c r="AH72" i="35"/>
  <c r="AT50" i="35" l="1"/>
  <c r="AH50" i="35"/>
  <c r="AT84" i="35" l="1"/>
  <c r="AH84" i="35"/>
  <c r="AT21" i="35"/>
  <c r="AH21" i="35"/>
  <c r="X30" i="27" l="1"/>
  <c r="H30" i="27"/>
  <c r="E8" i="37"/>
  <c r="W30" i="27" l="1"/>
  <c r="O9" i="27"/>
  <c r="O11" i="27" s="1"/>
  <c r="G30" i="27" l="1"/>
  <c r="F30" i="27" l="1"/>
  <c r="AH28" i="35"/>
  <c r="V30" i="27" l="1"/>
  <c r="R78" i="35" l="1"/>
  <c r="AC91" i="35"/>
  <c r="U20" i="27"/>
  <c r="T20" i="27"/>
  <c r="S23" i="27"/>
  <c r="AE22" i="27"/>
  <c r="AE20" i="27"/>
  <c r="T30" i="27" l="1"/>
  <c r="O30" i="27"/>
  <c r="S30" i="27"/>
  <c r="U30" i="27"/>
  <c r="AE25" i="27"/>
  <c r="I10" i="37"/>
  <c r="J10" i="37"/>
  <c r="K10" i="37"/>
  <c r="L10" i="37"/>
  <c r="M10" i="37"/>
  <c r="N10" i="37"/>
  <c r="O10" i="37"/>
  <c r="C10" i="37"/>
  <c r="D10" i="37"/>
  <c r="E9" i="37"/>
  <c r="E7" i="37"/>
  <c r="E6" i="37"/>
  <c r="P27" i="27" l="1"/>
  <c r="P29" i="27"/>
  <c r="P26" i="27"/>
  <c r="P24" i="27"/>
  <c r="P21" i="27"/>
  <c r="P19" i="27"/>
  <c r="P23" i="27"/>
  <c r="P28" i="27"/>
  <c r="P25" i="27"/>
  <c r="P22" i="27"/>
  <c r="P20" i="27"/>
  <c r="P17" i="27"/>
  <c r="P18" i="27"/>
  <c r="AE30" i="27"/>
  <c r="AF29" i="27" s="1"/>
  <c r="P10" i="37"/>
  <c r="E10" i="37"/>
  <c r="W78" i="35" l="1"/>
  <c r="Y78" i="35"/>
  <c r="Y159" i="35" l="1"/>
  <c r="Y119" i="35"/>
  <c r="X159" i="35"/>
  <c r="Y40" i="35"/>
  <c r="X40" i="35"/>
  <c r="AA11" i="27"/>
  <c r="Z11" i="27"/>
  <c r="K11" i="27"/>
  <c r="J11" i="27"/>
  <c r="X78" i="35" l="1"/>
  <c r="X119" i="35"/>
  <c r="W119" i="35" l="1"/>
  <c r="W40" i="35"/>
  <c r="W159" i="35"/>
  <c r="AQ159" i="35" l="1"/>
  <c r="AR78" i="35"/>
  <c r="AH73" i="35"/>
  <c r="AR119" i="35"/>
  <c r="AT9" i="35"/>
  <c r="AT125" i="35"/>
  <c r="AC125" i="35"/>
  <c r="AF119" i="35"/>
  <c r="AQ78" i="35"/>
  <c r="AH71" i="35"/>
  <c r="AP159" i="35"/>
  <c r="AC85" i="35"/>
  <c r="AT89" i="35"/>
  <c r="AC52" i="35"/>
  <c r="AN119" i="35"/>
  <c r="AH7" i="35"/>
  <c r="AC7" i="35"/>
  <c r="AC45" i="35"/>
  <c r="AC9" i="35"/>
  <c r="AC54" i="35"/>
  <c r="AC60" i="35"/>
  <c r="AC130" i="35"/>
  <c r="AH89" i="35"/>
  <c r="AC129" i="35"/>
  <c r="AH129" i="35"/>
  <c r="AT150" i="35"/>
  <c r="AC33" i="35"/>
  <c r="AG78" i="35"/>
  <c r="AH37" i="35"/>
  <c r="AC38" i="35"/>
  <c r="AT142" i="35"/>
  <c r="AH142" i="35"/>
  <c r="AC142" i="35"/>
  <c r="AS159" i="35"/>
  <c r="AR159" i="35"/>
  <c r="AN159" i="35"/>
  <c r="AM159" i="35"/>
  <c r="AL159" i="35"/>
  <c r="AK159" i="35"/>
  <c r="AG159" i="35"/>
  <c r="V159" i="35"/>
  <c r="U159" i="35"/>
  <c r="T159" i="35"/>
  <c r="S159" i="35"/>
  <c r="AH158" i="35"/>
  <c r="AI158" i="35" s="1"/>
  <c r="AJ158" i="35" s="1"/>
  <c r="AT158" i="35" s="1"/>
  <c r="AC158" i="35"/>
  <c r="AH157" i="35"/>
  <c r="AT157" i="35" s="1"/>
  <c r="AC157" i="35"/>
  <c r="AH156" i="35"/>
  <c r="AI156" i="35" s="1"/>
  <c r="AT156" i="35" s="1"/>
  <c r="AC156" i="35"/>
  <c r="AH155" i="35"/>
  <c r="AI155" i="35" s="1"/>
  <c r="AT155" i="35" s="1"/>
  <c r="AC155" i="35"/>
  <c r="AH154" i="35"/>
  <c r="AT154" i="35" s="1"/>
  <c r="AC154" i="35"/>
  <c r="AH153" i="35"/>
  <c r="AI153" i="35" s="1"/>
  <c r="AT153" i="35" s="1"/>
  <c r="AC153" i="35"/>
  <c r="AH152" i="35"/>
  <c r="AT152" i="35" s="1"/>
  <c r="AC152" i="35"/>
  <c r="AH151" i="35"/>
  <c r="AI151" i="35" s="1"/>
  <c r="AT151" i="35" s="1"/>
  <c r="AC151" i="35"/>
  <c r="AH150" i="35"/>
  <c r="AH149" i="35"/>
  <c r="AT149" i="35" s="1"/>
  <c r="AC149" i="35"/>
  <c r="AT148" i="35"/>
  <c r="AH148" i="35"/>
  <c r="AC148" i="35"/>
  <c r="AC147" i="35"/>
  <c r="AT146" i="35"/>
  <c r="AH146" i="35"/>
  <c r="AC146" i="35"/>
  <c r="AT145" i="35"/>
  <c r="AC145" i="35"/>
  <c r="AT144" i="35"/>
  <c r="AH144" i="35"/>
  <c r="AC144" i="35"/>
  <c r="AT143" i="35"/>
  <c r="AH143" i="35"/>
  <c r="AC143" i="35"/>
  <c r="AH141" i="35"/>
  <c r="AT141" i="35" s="1"/>
  <c r="AC141" i="35"/>
  <c r="AT140" i="35"/>
  <c r="AH140" i="35"/>
  <c r="AC140" i="35"/>
  <c r="AH139" i="35"/>
  <c r="AT139" i="35" s="1"/>
  <c r="AC139" i="35"/>
  <c r="AH138" i="35"/>
  <c r="AT138" i="35" s="1"/>
  <c r="AC138" i="35"/>
  <c r="AH137" i="35"/>
  <c r="AT137" i="35" s="1"/>
  <c r="AC137" i="35"/>
  <c r="AT136" i="35"/>
  <c r="AH136" i="35"/>
  <c r="AC136" i="35"/>
  <c r="AT135" i="35"/>
  <c r="AH135" i="35"/>
  <c r="AC135" i="35"/>
  <c r="AT134" i="35"/>
  <c r="AH134" i="35"/>
  <c r="AC134" i="35"/>
  <c r="AT133" i="35"/>
  <c r="AH133" i="35"/>
  <c r="AC133" i="35"/>
  <c r="AT132" i="35"/>
  <c r="AH132" i="35"/>
  <c r="AC132" i="35"/>
  <c r="AT131" i="35"/>
  <c r="AH131" i="35"/>
  <c r="AC131" i="35"/>
  <c r="AT130" i="35"/>
  <c r="AH130" i="35"/>
  <c r="AT129" i="35"/>
  <c r="AT128" i="35"/>
  <c r="AH128" i="35"/>
  <c r="AC128" i="35"/>
  <c r="AT127" i="35"/>
  <c r="AH127" i="35"/>
  <c r="AC127" i="35"/>
  <c r="AT126" i="35"/>
  <c r="AH126" i="35"/>
  <c r="AC126" i="35"/>
  <c r="AH125" i="35"/>
  <c r="AT124" i="35"/>
  <c r="AH124" i="35"/>
  <c r="AC124" i="35"/>
  <c r="AS119" i="35"/>
  <c r="AQ119" i="35"/>
  <c r="AP119" i="35"/>
  <c r="AO119" i="35"/>
  <c r="AM119" i="35"/>
  <c r="AL119" i="35"/>
  <c r="AK119" i="35"/>
  <c r="V119" i="35"/>
  <c r="U119" i="35"/>
  <c r="T119" i="35"/>
  <c r="S119" i="35"/>
  <c r="R119" i="35"/>
  <c r="AH118" i="35"/>
  <c r="AI118" i="35" s="1"/>
  <c r="AJ118" i="35" s="1"/>
  <c r="AT118" i="35" s="1"/>
  <c r="AC118" i="35"/>
  <c r="AC117" i="35"/>
  <c r="AH116" i="35"/>
  <c r="AI116" i="35" s="1"/>
  <c r="AT116" i="35" s="1"/>
  <c r="AC116" i="35"/>
  <c r="AC115" i="35"/>
  <c r="AH114" i="35"/>
  <c r="AT114" i="35" s="1"/>
  <c r="AC114" i="35"/>
  <c r="AH113" i="35"/>
  <c r="AT113" i="35" s="1"/>
  <c r="AC113" i="35"/>
  <c r="AT112" i="35"/>
  <c r="AH112" i="35"/>
  <c r="AC112" i="35"/>
  <c r="AC111" i="35"/>
  <c r="AT110" i="35"/>
  <c r="AH110" i="35"/>
  <c r="AC110" i="35"/>
  <c r="AH109" i="35"/>
  <c r="AT109" i="35" s="1"/>
  <c r="AC109" i="35"/>
  <c r="AH108" i="35"/>
  <c r="AT108" i="35" s="1"/>
  <c r="AC108" i="35"/>
  <c r="AT107" i="35"/>
  <c r="AH107" i="35"/>
  <c r="AC107" i="35"/>
  <c r="AH106" i="35"/>
  <c r="AT106" i="35" s="1"/>
  <c r="AC106" i="35"/>
  <c r="AH105" i="35"/>
  <c r="AT105" i="35" s="1"/>
  <c r="AC105" i="35"/>
  <c r="AH104" i="35"/>
  <c r="AT104" i="35" s="1"/>
  <c r="AC104" i="35"/>
  <c r="AT103" i="35"/>
  <c r="AH103" i="35"/>
  <c r="AC103" i="35"/>
  <c r="AH102" i="35"/>
  <c r="AC102" i="35"/>
  <c r="AH101" i="35"/>
  <c r="AT101" i="35" s="1"/>
  <c r="AC101" i="35"/>
  <c r="AT100" i="35"/>
  <c r="AH100" i="35"/>
  <c r="AC100" i="35"/>
  <c r="AH99" i="35"/>
  <c r="AT99" i="35" s="1"/>
  <c r="AC99" i="35"/>
  <c r="AH98" i="35"/>
  <c r="AT98" i="35" s="1"/>
  <c r="AC98" i="35"/>
  <c r="AH97" i="35"/>
  <c r="AT97" i="35" s="1"/>
  <c r="AC97" i="35"/>
  <c r="AT96" i="35"/>
  <c r="AH96" i="35"/>
  <c r="AC96" i="35"/>
  <c r="AH95" i="35"/>
  <c r="AT95" i="35" s="1"/>
  <c r="AC95" i="35"/>
  <c r="AH94" i="35"/>
  <c r="AT94" i="35" s="1"/>
  <c r="AC94" i="35"/>
  <c r="AH93" i="35"/>
  <c r="AC93" i="35"/>
  <c r="AC92" i="35"/>
  <c r="AT91" i="35"/>
  <c r="AH91" i="35"/>
  <c r="AT90" i="35"/>
  <c r="AH90" i="35"/>
  <c r="AC90" i="35"/>
  <c r="AT88" i="35"/>
  <c r="AH88" i="35"/>
  <c r="AC88" i="35"/>
  <c r="AT87" i="35"/>
  <c r="AH87" i="35"/>
  <c r="AC87" i="35"/>
  <c r="AT86" i="35"/>
  <c r="AH86" i="35"/>
  <c r="AC86" i="35"/>
  <c r="AT85" i="35"/>
  <c r="AH85" i="35"/>
  <c r="AC84" i="35"/>
  <c r="AS78" i="35"/>
  <c r="AP78" i="35"/>
  <c r="AO78" i="35"/>
  <c r="AN78" i="35"/>
  <c r="AM78" i="35"/>
  <c r="AL78" i="35"/>
  <c r="AK78" i="35"/>
  <c r="V78" i="35"/>
  <c r="U78" i="35"/>
  <c r="T78" i="35"/>
  <c r="S78" i="35"/>
  <c r="AH77" i="35"/>
  <c r="AI77" i="35" s="1"/>
  <c r="AJ77" i="35" s="1"/>
  <c r="AT77" i="35" s="1"/>
  <c r="AC77" i="35"/>
  <c r="AT76" i="35"/>
  <c r="AH76" i="35"/>
  <c r="AC76" i="35"/>
  <c r="AT75" i="35"/>
  <c r="AC75" i="35"/>
  <c r="AH74" i="35"/>
  <c r="AT74" i="35" s="1"/>
  <c r="AC74" i="35"/>
  <c r="AT73" i="35"/>
  <c r="AC72" i="35"/>
  <c r="AC71" i="35"/>
  <c r="AH70" i="35"/>
  <c r="AT70" i="35" s="1"/>
  <c r="AC70" i="35"/>
  <c r="AT69" i="35"/>
  <c r="AH69" i="35"/>
  <c r="AC69" i="35"/>
  <c r="AH68" i="35"/>
  <c r="AT68" i="35" s="1"/>
  <c r="AC68" i="35"/>
  <c r="AH67" i="35"/>
  <c r="AT67" i="35" s="1"/>
  <c r="AC67" i="35"/>
  <c r="AH66" i="35"/>
  <c r="AT66" i="35" s="1"/>
  <c r="AC66" i="35"/>
  <c r="AH65" i="35"/>
  <c r="AT65" i="35" s="1"/>
  <c r="AC65" i="35"/>
  <c r="AH64" i="35"/>
  <c r="AT64" i="35" s="1"/>
  <c r="AC64" i="35"/>
  <c r="AH63" i="35"/>
  <c r="AT63" i="35" s="1"/>
  <c r="AC63" i="35"/>
  <c r="AC62" i="35"/>
  <c r="AH61" i="35"/>
  <c r="AT61" i="35" s="1"/>
  <c r="AC61" i="35"/>
  <c r="AH60" i="35"/>
  <c r="AT60" i="35" s="1"/>
  <c r="AT59" i="35"/>
  <c r="AH59" i="35"/>
  <c r="AC59" i="35"/>
  <c r="AT58" i="35"/>
  <c r="AH58" i="35"/>
  <c r="AC58" i="35"/>
  <c r="AT57" i="35"/>
  <c r="AH57" i="35"/>
  <c r="AC57" i="35"/>
  <c r="AC56" i="35"/>
  <c r="AT55" i="35"/>
  <c r="AH55" i="35"/>
  <c r="AC55" i="35"/>
  <c r="AT54" i="35"/>
  <c r="AH54" i="35"/>
  <c r="AT53" i="35"/>
  <c r="AH53" i="35"/>
  <c r="AC53" i="35"/>
  <c r="AT52" i="35"/>
  <c r="AH52" i="35"/>
  <c r="AC51" i="35"/>
  <c r="AC50" i="35"/>
  <c r="AH49" i="35"/>
  <c r="AT49" i="35" s="1"/>
  <c r="AC49" i="35"/>
  <c r="AH48" i="35"/>
  <c r="AT48" i="35" s="1"/>
  <c r="AC48" i="35"/>
  <c r="AT47" i="35"/>
  <c r="AH47" i="35"/>
  <c r="AT46" i="35"/>
  <c r="AH46" i="35"/>
  <c r="AC46" i="35"/>
  <c r="AS40" i="35"/>
  <c r="AR40" i="35"/>
  <c r="AQ40" i="35"/>
  <c r="AO40" i="35"/>
  <c r="AN40" i="35"/>
  <c r="AM40" i="35"/>
  <c r="AL40" i="35"/>
  <c r="AG40" i="35"/>
  <c r="AF40" i="35"/>
  <c r="V40" i="35"/>
  <c r="U40" i="35"/>
  <c r="T40" i="35"/>
  <c r="S40" i="35"/>
  <c r="AH39" i="35"/>
  <c r="AI39" i="35" s="1"/>
  <c r="AJ39" i="35" s="1"/>
  <c r="AK39" i="35" s="1"/>
  <c r="AT39" i="35" s="1"/>
  <c r="AC39" i="35"/>
  <c r="AT38" i="35"/>
  <c r="AH38" i="35"/>
  <c r="AT37" i="35"/>
  <c r="AH36" i="35"/>
  <c r="AT36" i="35" s="1"/>
  <c r="AC36" i="35"/>
  <c r="AH35" i="35"/>
  <c r="AT35" i="35" s="1"/>
  <c r="AC35" i="35"/>
  <c r="AT34" i="35"/>
  <c r="AH34" i="35"/>
  <c r="AC34" i="35"/>
  <c r="AT33" i="35"/>
  <c r="AH33" i="35"/>
  <c r="AH32" i="35"/>
  <c r="AT32" i="35" s="1"/>
  <c r="AC32" i="35"/>
  <c r="AH31" i="35"/>
  <c r="AT31" i="35" s="1"/>
  <c r="AC31" i="35"/>
  <c r="AH30" i="35"/>
  <c r="AT30" i="35" s="1"/>
  <c r="AC30" i="35"/>
  <c r="AH29" i="35"/>
  <c r="AT29" i="35" s="1"/>
  <c r="AC29" i="35"/>
  <c r="AT28" i="35"/>
  <c r="AC28" i="35"/>
  <c r="AH27" i="35"/>
  <c r="AT27" i="35" s="1"/>
  <c r="AC27" i="35"/>
  <c r="AC26" i="35"/>
  <c r="AC25" i="35"/>
  <c r="AC24" i="35"/>
  <c r="AC23" i="35"/>
  <c r="AC22" i="35"/>
  <c r="AC21" i="35"/>
  <c r="AC20" i="35"/>
  <c r="AC19" i="35"/>
  <c r="AC18" i="35"/>
  <c r="AC17" i="35"/>
  <c r="AC16" i="35"/>
  <c r="AC15" i="35"/>
  <c r="AT14" i="35"/>
  <c r="AH14" i="35"/>
  <c r="AC14" i="35"/>
  <c r="AT13" i="35"/>
  <c r="AH13" i="35"/>
  <c r="AC13" i="35"/>
  <c r="AT12" i="35"/>
  <c r="AH12" i="35"/>
  <c r="AC12" i="35"/>
  <c r="AH11" i="35"/>
  <c r="AT11" i="35" s="1"/>
  <c r="AC11" i="35"/>
  <c r="AH10" i="35"/>
  <c r="AT10" i="35" s="1"/>
  <c r="AC10" i="35"/>
  <c r="AH9" i="35"/>
  <c r="AH8" i="35"/>
  <c r="AT8" i="35" s="1"/>
  <c r="AC8" i="35"/>
  <c r="AT71" i="35" l="1"/>
  <c r="AO159" i="35"/>
  <c r="Q78" i="35"/>
  <c r="AC37" i="35"/>
  <c r="AC40" i="35" s="1"/>
  <c r="AD14" i="35" s="1"/>
  <c r="AH45" i="35"/>
  <c r="AH78" i="35" s="1"/>
  <c r="R159" i="35"/>
  <c r="AC150" i="35"/>
  <c r="AC159" i="35" s="1"/>
  <c r="AD158" i="35" s="1"/>
  <c r="AT102" i="35"/>
  <c r="AG119" i="35"/>
  <c r="Q119" i="35"/>
  <c r="Q159" i="35"/>
  <c r="AC73" i="35"/>
  <c r="R40" i="35"/>
  <c r="AF159" i="35"/>
  <c r="AP40" i="35"/>
  <c r="AC47" i="35"/>
  <c r="Q40" i="35"/>
  <c r="AF78" i="35"/>
  <c r="AC89" i="35"/>
  <c r="AC119" i="35" s="1"/>
  <c r="AH159" i="35"/>
  <c r="AH119" i="35"/>
  <c r="AH40" i="35"/>
  <c r="AI78" i="35"/>
  <c r="AJ78" i="35"/>
  <c r="AT45" i="35"/>
  <c r="AI159" i="35"/>
  <c r="AI119" i="35"/>
  <c r="AT159" i="35"/>
  <c r="AJ159" i="35"/>
  <c r="AC78" i="35" l="1"/>
  <c r="AD45" i="35" s="1"/>
  <c r="AT78" i="35"/>
  <c r="AD18" i="35"/>
  <c r="AD28" i="35"/>
  <c r="AD32" i="35"/>
  <c r="AD138" i="35"/>
  <c r="AD154" i="35"/>
  <c r="AD136" i="35"/>
  <c r="AD148" i="35"/>
  <c r="AD152" i="35"/>
  <c r="AD151" i="35"/>
  <c r="AD128" i="35"/>
  <c r="AD125" i="35"/>
  <c r="AD143" i="35"/>
  <c r="AD149" i="35"/>
  <c r="AD135" i="35"/>
  <c r="AD144" i="35"/>
  <c r="AD141" i="35"/>
  <c r="AD150" i="35"/>
  <c r="AD142" i="35"/>
  <c r="AD145" i="35"/>
  <c r="AD157" i="35"/>
  <c r="AD139" i="35"/>
  <c r="AD124" i="35"/>
  <c r="AD146" i="35"/>
  <c r="AD147" i="35"/>
  <c r="AD133" i="35"/>
  <c r="AD130" i="35"/>
  <c r="AD131" i="35"/>
  <c r="AD140" i="35"/>
  <c r="AD153" i="35"/>
  <c r="AD134" i="35"/>
  <c r="Q165" i="35"/>
  <c r="AD156" i="35"/>
  <c r="AD155" i="35"/>
  <c r="AD137" i="35"/>
  <c r="AD132" i="35"/>
  <c r="AD129" i="35"/>
  <c r="AD126" i="35"/>
  <c r="AD127" i="35"/>
  <c r="AD114" i="35"/>
  <c r="AD99" i="35"/>
  <c r="AD87" i="35"/>
  <c r="AD98" i="35"/>
  <c r="AD115" i="35"/>
  <c r="AD108" i="35"/>
  <c r="AD85" i="35"/>
  <c r="AD110" i="35"/>
  <c r="AD94" i="35"/>
  <c r="AD111" i="35"/>
  <c r="AD95" i="35"/>
  <c r="AD104" i="35"/>
  <c r="AD92" i="35"/>
  <c r="AD113" i="35"/>
  <c r="AD117" i="35"/>
  <c r="AD106" i="35"/>
  <c r="AD90" i="35"/>
  <c r="AD107" i="35"/>
  <c r="AD116" i="35"/>
  <c r="AD100" i="35"/>
  <c r="AD88" i="35"/>
  <c r="AD101" i="35"/>
  <c r="AD105" i="35"/>
  <c r="AD97" i="35"/>
  <c r="AD109" i="35"/>
  <c r="AD118" i="35"/>
  <c r="AD102" i="35"/>
  <c r="AD86" i="35"/>
  <c r="AD103" i="35"/>
  <c r="AD91" i="35"/>
  <c r="AD112" i="35"/>
  <c r="AD96" i="35"/>
  <c r="AD84" i="35"/>
  <c r="AD93" i="35"/>
  <c r="AD35" i="35"/>
  <c r="AD13" i="35"/>
  <c r="AD29" i="35"/>
  <c r="AD24" i="35"/>
  <c r="AD33" i="35"/>
  <c r="AD9" i="35"/>
  <c r="AD34" i="35"/>
  <c r="AD23" i="35"/>
  <c r="AT93" i="35"/>
  <c r="AT119" i="35" s="1"/>
  <c r="AJ119" i="35"/>
  <c r="AD89" i="35"/>
  <c r="AD39" i="35"/>
  <c r="AD38" i="35"/>
  <c r="AD37" i="35"/>
  <c r="AD31" i="35"/>
  <c r="AD27" i="35"/>
  <c r="AD22" i="35"/>
  <c r="AD21" i="35"/>
  <c r="AD17" i="35"/>
  <c r="AD11" i="35"/>
  <c r="AD8" i="35"/>
  <c r="AD16" i="35"/>
  <c r="AD15" i="35"/>
  <c r="AD26" i="35"/>
  <c r="AD19" i="35"/>
  <c r="AD36" i="35"/>
  <c r="AD30" i="35"/>
  <c r="AD20" i="35"/>
  <c r="AD10" i="35"/>
  <c r="AD7" i="35"/>
  <c r="AD12" i="35"/>
  <c r="AD25" i="35"/>
  <c r="AI40" i="35"/>
  <c r="Y11" i="27"/>
  <c r="X11" i="27"/>
  <c r="W11" i="27"/>
  <c r="V11" i="27"/>
  <c r="U11" i="27"/>
  <c r="T11" i="27"/>
  <c r="S11" i="27"/>
  <c r="AD47" i="35" l="1"/>
  <c r="AD52" i="35"/>
  <c r="AD56" i="35"/>
  <c r="AD64" i="35"/>
  <c r="AD69" i="35"/>
  <c r="AD67" i="35"/>
  <c r="AD66" i="35"/>
  <c r="AD71" i="35"/>
  <c r="AD53" i="35"/>
  <c r="Q164" i="35"/>
  <c r="Q167" i="35" s="1"/>
  <c r="S164" i="35" s="1"/>
  <c r="AD68" i="35"/>
  <c r="AD73" i="35"/>
  <c r="AD65" i="35"/>
  <c r="AD50" i="35"/>
  <c r="AD54" i="35"/>
  <c r="AD60" i="35"/>
  <c r="AD58" i="35"/>
  <c r="AD49" i="35"/>
  <c r="AD72" i="35"/>
  <c r="AD76" i="35"/>
  <c r="AD61" i="35"/>
  <c r="AD48" i="35"/>
  <c r="AD59" i="35"/>
  <c r="AD75" i="35"/>
  <c r="AD77" i="35"/>
  <c r="AD46" i="35"/>
  <c r="AD51" i="35"/>
  <c r="AD55" i="35"/>
  <c r="AD62" i="35"/>
  <c r="AD74" i="35"/>
  <c r="AD63" i="35"/>
  <c r="AD57" i="35"/>
  <c r="AD70" i="35"/>
  <c r="AD159" i="35"/>
  <c r="AD119" i="35"/>
  <c r="AJ40" i="35"/>
  <c r="AD40" i="35"/>
  <c r="AE11" i="27"/>
  <c r="C11" i="27"/>
  <c r="D11" i="27"/>
  <c r="E11" i="27"/>
  <c r="AD78" i="35" l="1"/>
  <c r="S166" i="35"/>
  <c r="S165" i="35"/>
  <c r="AK40" i="35"/>
  <c r="AT7" i="35"/>
  <c r="AT40" i="35" s="1"/>
  <c r="AF17" i="27" l="1"/>
  <c r="AF28" i="27"/>
  <c r="AF23" i="27"/>
  <c r="AF25" i="27"/>
  <c r="AF27" i="27"/>
  <c r="AF22" i="27"/>
  <c r="AF24" i="27"/>
  <c r="AF26" i="27"/>
  <c r="AF20" i="27"/>
  <c r="AF21" i="27"/>
  <c r="AF19" i="27"/>
  <c r="AF18" i="27"/>
  <c r="S167" i="35"/>
  <c r="AF30" i="27" l="1"/>
  <c r="G11" i="27" l="1"/>
  <c r="F11" i="27"/>
  <c r="H11" i="27"/>
  <c r="I11" i="27"/>
  <c r="P30" i="27"/>
</calcChain>
</file>

<file path=xl/comments1.xml><?xml version="1.0" encoding="utf-8"?>
<comments xmlns="http://schemas.openxmlformats.org/spreadsheetml/2006/main">
  <authors>
    <author>Autor</author>
  </authors>
  <commentList>
    <comment ref="Q23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agente con 2 faltas</t>
        </r>
      </text>
    </comment>
    <comment ref="R118" authorId="0" shape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1 agente30 dias </t>
        </r>
      </text>
    </comment>
  </commentList>
</comments>
</file>

<file path=xl/sharedStrings.xml><?xml version="1.0" encoding="utf-8"?>
<sst xmlns="http://schemas.openxmlformats.org/spreadsheetml/2006/main" count="441" uniqueCount="206">
  <si>
    <t>CMDO</t>
  </si>
  <si>
    <t>SCMDO</t>
  </si>
  <si>
    <t>INSP.JEFE</t>
  </si>
  <si>
    <t>INSP</t>
  </si>
  <si>
    <t>S.INSP.</t>
  </si>
  <si>
    <t>SGTO</t>
  </si>
  <si>
    <t>CABO</t>
  </si>
  <si>
    <t>APP</t>
  </si>
  <si>
    <t>AGTE</t>
  </si>
  <si>
    <t>TOTAL</t>
  </si>
  <si>
    <t>SUPERN.</t>
  </si>
  <si>
    <t>ADMIVO.</t>
  </si>
  <si>
    <t>ENERO</t>
  </si>
  <si>
    <t>FEBRERO</t>
  </si>
  <si>
    <t>MARZO</t>
  </si>
  <si>
    <t>ABRIL</t>
  </si>
  <si>
    <t>MAYO</t>
  </si>
  <si>
    <t>JUNIO</t>
  </si>
  <si>
    <t>JULIO</t>
  </si>
  <si>
    <t>TOTALES</t>
  </si>
  <si>
    <t xml:space="preserve"> </t>
  </si>
  <si>
    <t>FALTAS MUY GRAVES  ART. 9 LDP</t>
  </si>
  <si>
    <t>Enero</t>
  </si>
  <si>
    <t>Febrero</t>
  </si>
  <si>
    <t>Marzo</t>
  </si>
  <si>
    <t>Abril</t>
  </si>
  <si>
    <t>Mayo</t>
  </si>
  <si>
    <t>Junio</t>
  </si>
  <si>
    <t xml:space="preserve">julio </t>
  </si>
  <si>
    <t>Agosto</t>
  </si>
  <si>
    <t>Septiembre</t>
  </si>
  <si>
    <t>Octubre</t>
  </si>
  <si>
    <t>Noviembre</t>
  </si>
  <si>
    <t>Diciembre</t>
  </si>
  <si>
    <t>Totales</t>
  </si>
  <si>
    <t>%</t>
  </si>
  <si>
    <t>   24)       Fomentar o ejecutar actos tendientes a la formación o mantenimiento de grupos armados al margen de la ley; promoverlos, auspiciarlos, financiarlos, organizarlos, instruirlos, dirigirlos, tolerarlos o colaborar con ellos, ya sea al interior de la Institución o fuera de la misma;</t>
  </si>
  <si>
    <t>10)       Imponer a sus subalternos trabajos ajenos al servicio o impedirles el cumplimiento de sus deberes;</t>
  </si>
  <si>
    <t>21)       Desautorizar o interferir, sin justa causa, decisiones u órdenes que, con base en atribuciones legales o reglamentarias, adopte cualquier mando de la Institución en relación con el servicio, cuando no se afecte el desarrollo del mismo;</t>
  </si>
  <si>
    <t>23)       No auxiliar en defensa de la vida, integridad física y los bienes de las personas, fuera de las horas de servicio, siempre y cuando las circunstancias lo permitan;</t>
  </si>
  <si>
    <t> 25)       Incumplir una sanción impuesta por los organismos competentes;</t>
  </si>
  <si>
    <t>   32)       Destruir, sustraer, modificar, ocultar, desaparecer o falsificar la correspondencia oficial, libros oficiales o cualquier otro documento oficial, independientemente del medio que haya sido utilizado para su archivo, sea  éste electrónico o material;</t>
  </si>
  <si>
    <t>33)       Pertenecer a partidos políticos, optar a cargos de elección popular o realizar propaganda política en cualquier forma;</t>
  </si>
  <si>
    <t> 35)       La acumulación de tres faltas leves sancionadas en un período no mayor a un año, excepto cuando la sanción impuesta haya sido amonestación verbal o escrita.</t>
  </si>
  <si>
    <t>*TOTALES</t>
  </si>
  <si>
    <t>FALTAS MUY GRAVES</t>
  </si>
  <si>
    <t>FALTAS GRAVES</t>
  </si>
  <si>
    <t xml:space="preserve">FALTAS LEVES </t>
  </si>
  <si>
    <t xml:space="preserve">TOTAL </t>
  </si>
  <si>
    <t>MASCULINO</t>
  </si>
  <si>
    <t>FEMENINO</t>
  </si>
  <si>
    <t>GENERO</t>
  </si>
  <si>
    <t>CATEGORIA</t>
  </si>
  <si>
    <r>
      <rPr>
        <b/>
        <sz val="7"/>
        <rFont val="Times New Roman"/>
        <family val="1"/>
      </rPr>
      <t>  33</t>
    </r>
    <r>
      <rPr>
        <b/>
        <sz val="7"/>
        <rFont val="Arial"/>
        <family val="2"/>
      </rPr>
      <t>)</t>
    </r>
    <r>
      <rPr>
        <sz val="7"/>
        <rFont val="Times New Roman"/>
        <family val="1"/>
      </rPr>
      <t xml:space="preserve">       </t>
    </r>
    <r>
      <rPr>
        <sz val="7"/>
        <rFont val="Arial"/>
        <family val="2"/>
      </rPr>
      <t>La acumulación de tres faltas graves sancionadas en un período no mayor a dos años.</t>
    </r>
  </si>
  <si>
    <r>
      <t> 35</t>
    </r>
    <r>
      <rPr>
        <sz val="7"/>
        <rFont val="Arial"/>
        <family val="2"/>
      </rPr>
      <t>)</t>
    </r>
    <r>
      <rPr>
        <sz val="7"/>
        <rFont val="Times New Roman"/>
        <family val="1"/>
      </rPr>
      <t xml:space="preserve">       </t>
    </r>
    <r>
      <rPr>
        <sz val="7"/>
        <rFont val="Arial"/>
        <family val="2"/>
      </rPr>
      <t>La acumulación de tres faltas leves sancionadas en un período no mayor a un año, excepto cuando la sanción impuesta haya sido amonestación verbal o escrita.</t>
    </r>
  </si>
  <si>
    <t>3) No presentarse al lugar de trabajo o sector de responsabilidad donde presta su servicio sin causa justificada, por más de cuarenta y ocho horas;</t>
  </si>
  <si>
    <t>1) Ausentarse sin permiso o sin causa justificada del lugar de trabajo o sector de responsabilidad donde presta su servicio, hasta por ocho horas;</t>
  </si>
  <si>
    <t>2) No presentarse al lugar de trabajo o sector de responsabilidad donde presta su servicio sin causa justificada, por mas de veinticuatro horas hasta por cuarenta y ocho horas;</t>
  </si>
  <si>
    <t>3) Conducir vehículos, naves o aeronaves institucionales u operar material y equipo, sin poseer la respectiva licencia o autorización, o aún teniéndolas, si con ello se contravienen  reglamentos,  órdenes o normas sobre circulación, navegación, uso o manejo;</t>
  </si>
  <si>
    <t>2) Ausentarse sin permiso o sin causa justificada del lugar de trabajo o sector de responsabilidad donde presta su servicio, cuando durante dicha ausencia se produjere un daño a un bien jurídico;</t>
  </si>
  <si>
    <t>32) Destruir, sustraer, modificar, ocultar, desaparecer o falsificar la correspondencia oficial, libros oficiales o cualquier otro documento oficial, independientemente del medio que haya sido utilizado para su archivo, sea  éste electrónico o material;</t>
  </si>
  <si>
    <t>19) Faltar al respeto, mediante actos de descortesía, impropios, o empleando vocabulario soez, a los superiores, al público, a la autoridad o funcionarios públicos y miembros del Cuerpo Diplomático, conocida que sea la condición de tal;</t>
  </si>
  <si>
    <t>9) Actuar manifiestamente con discriminación en razón del género, credo o raza;</t>
  </si>
  <si>
    <t>13) No asistir los miembros de los Tribunales a dos audiencias consecutivas o a tres audiencias no consecutivas en el mismo mes calendario;</t>
  </si>
  <si>
    <t>OFIC. SEDE CENTRAL</t>
  </si>
  <si>
    <t>REG. METROPOLITANA</t>
  </si>
  <si>
    <t>REG. CENTRAL</t>
  </si>
  <si>
    <t>REG. PARACENTRAL</t>
  </si>
  <si>
    <t>REG. OCCIDENTAL</t>
  </si>
  <si>
    <t>REG. ORIENTAL</t>
  </si>
  <si>
    <t>Suspensión del cargo sin goce de sueldo (91-180 días)</t>
  </si>
  <si>
    <t>Destitución</t>
  </si>
  <si>
    <t>SANCIONADORA</t>
  </si>
  <si>
    <t>ABSOLUTORIA</t>
  </si>
  <si>
    <t>SUSPENDIDA</t>
  </si>
  <si>
    <t>REPROGRAMADA</t>
  </si>
  <si>
    <t>REBELDIA</t>
  </si>
  <si>
    <t>APERTURA A PRUEBA</t>
  </si>
  <si>
    <t>NULIDAD</t>
  </si>
  <si>
    <t>INCOMPETENTE</t>
  </si>
  <si>
    <t>PASO A FALTA LEVE</t>
  </si>
  <si>
    <t>PRESCRIPCION</t>
  </si>
  <si>
    <t>CONFIRMADA</t>
  </si>
  <si>
    <t>REVOCADA</t>
  </si>
  <si>
    <t>MODIFICADA</t>
  </si>
  <si>
    <t>APERTURA A PRUEBAS</t>
  </si>
  <si>
    <t>PRESCRITO</t>
  </si>
  <si>
    <t xml:space="preserve">Julio </t>
  </si>
  <si>
    <t>RESULTADO</t>
  </si>
  <si>
    <t>TIPO DE FALTA</t>
  </si>
  <si>
    <t>TIPO DE SANCION</t>
  </si>
  <si>
    <t>NUMERO DE 
SANCIONADOS</t>
  </si>
  <si>
    <t xml:space="preserve">Suspensión del cargo sin goce de sueldo (16-90 días)
Arresto sin goce de sueldo (4 a 5 días)
</t>
  </si>
  <si>
    <t>FALTA MUY GRAVE 
Art- 9 LDP</t>
  </si>
  <si>
    <t>FALTA GRAVE 
Art- 8 LDP</t>
  </si>
  <si>
    <t xml:space="preserve">Inspectoría General de Seguridad Pública </t>
  </si>
  <si>
    <t>FALTAS GRAVES  ART. 8 LDP</t>
  </si>
  <si>
    <t>18)  No prestar oportunamente un servicio o eludir la prestación del mismo;</t>
  </si>
  <si>
    <t>12)  Omitir, retardar o no suministrar oportunamente, respuesta a las peticiones o solicitudes relacionadas con el servicio, que de manera decorosa, formulen los particulares;</t>
  </si>
  <si>
    <t>AGOSTO</t>
  </si>
  <si>
    <t>SEPTIEMBRE</t>
  </si>
  <si>
    <t>PASO A LEVE</t>
  </si>
  <si>
    <t>OCTUBRE</t>
  </si>
  <si>
    <t>15) No ejercer con la debida diligencia y oportunidad las atribuciones disciplinarias, conforme al presente régimen, produciéndose con tal omisión una afectación en el desarrollo del servicio;</t>
  </si>
  <si>
    <t>31) No registrar oportunamente en libros, documentos o sistemas informáticos los hechos y novedades a que está obligado o hacerlo con retardo, afectando con ello el desarrollo del servicio;</t>
  </si>
  <si>
    <t>18) No prestar oportunamente un servicio o eludir la prestación del mismo;</t>
  </si>
  <si>
    <t>1) Ausentarse sin permiso o sin causa justificada del lugar de trabajo o sector de responsabilidad donde presta su servicio, por un lapso de tiempo que exceda de veinticuatro horas;</t>
  </si>
  <si>
    <t>20) Dedicarse a negocios ilícitos o tener conocimiento de la realización de los mismos y no actuar conforme a las obligaciones que legalmente le corresponden;</t>
  </si>
  <si>
    <t>16) Eludir, retardar o modificar la ejecución de una sanción, bien sea por el sancionado o por quien se encuentre encargado de vigilar su cumplimiento;</t>
  </si>
  <si>
    <t>17) Presentarse al servicio bajo los efectos de bebidas alcohólicas;</t>
  </si>
  <si>
    <t>14) No comparecer injustificadamente como testigo o perito a un procedimiento administrativo o un proceso judicial, cuando haya sido citado debida y legalmente;</t>
  </si>
  <si>
    <t>22) No presentarse a su unidad o dependencia policial más cercana en forma  inmediata, cuando ocurran alteraciones graves del orden público o situaciones de emergencia o catástrofe;</t>
  </si>
  <si>
    <t>23) Promover o participar en huelgas, en acciones sustitutivas de las mismas o en actuaciones concertadas con el fin de alterar, paralizar o suspender total o parcialmente el normal funcionamiento de los servicios;</t>
  </si>
  <si>
    <t> 25) Incumplir una sanción impuesta por los organismos competentes;</t>
  </si>
  <si>
    <t>21) Desautorizar o interferir, sin justa causa, decisiones u órdenes que, con base en atribuciones legales o reglamentarias, adopte cualquier mando de la Institución en relación con el servicio, cuando no se afecte el desarrollo del mismo;</t>
  </si>
  <si>
    <t>DESTITUIDOS</t>
  </si>
  <si>
    <t>FALTAS MUY GRAVES (91-180 DIAS)</t>
  </si>
  <si>
    <t>FALTAS GRAVES (16-90 DIAS)</t>
  </si>
  <si>
    <t>NOVIEMBRE</t>
  </si>
  <si>
    <t>DICIEMBRE</t>
  </si>
  <si>
    <t>PENDIENTE LECTURA</t>
  </si>
  <si>
    <t>24) Tolerar en el personal subordinado cualquier conducta tipificada como infracción disciplinaria;</t>
  </si>
  <si>
    <t>OTRA</t>
  </si>
  <si>
    <t>5)       Presentarse al servicio bajo los efectos de drogas, estupefacientes o sustancias psicotrópicas;</t>
  </si>
  <si>
    <t>6) Atentar contra la libertad sexual de sus superiores, compañeros o subordinados, así como de aquellas personas que estén bajo detención o custodia;</t>
  </si>
  <si>
    <t>7) Negar injustificadamente al superior la colaboración o el apoyo necesario para la prestación del servicio, afectando el desarrollo del mismo;</t>
  </si>
  <si>
    <t>9) Desautorizar o interferir decisiones u órdenes que, con base en atribuciones legales o reglamentarias, adopte cualquier mando de la Institución en relación con el servicio, afectándose el mismo;</t>
  </si>
  <si>
    <t>10) Embriagarse durante el servicio o consumir drogas, estupefacientes o sustancias psicotrópicas;</t>
  </si>
  <si>
    <t>11) Insubordinarse individual o colectivamente ante las autoridades o mandos de que dependan, así como desobedecer las legítimas órdenes dictadas por aquéllos;</t>
  </si>
  <si>
    <t>13) Usar armas en actos del servicio o fuera de él con infracción de las normas que regulan su empleo, así como el descuido, imprudencia o exceso en el uso o manejo de las mismas, de la fuerza o de cualquier otro medio, causando daño a la integridad física o moral de las personas;</t>
  </si>
  <si>
    <t>15) Mostrar un comportamiento negligente o incumplir las obligaciones profesionales o las inherentes al cargo, causando perjuicio al servicio o a terceros;</t>
  </si>
  <si>
    <t>16) Permitir o dar lugar intencionalmente, por negligencia o imprudencia, a la fuga de personas capturadas, detenidas o condenadas, de cuya vigilancia o custodia haya sido encargado; o demorar injustificadamente la conducción de detenidos a su lugar de destino o no ponerlos a la orden de la autoridad competente, dentro del término legal establecido; o, brindar en forma incompleta o falsa o negar u omitir información, sobre el paradero de persona o personas a las que se haya privado de la libertad;</t>
  </si>
  <si>
    <t> 17)   Fomentar en el personal subordinado cualquier conducta tipificada como infracción disciplinaria;</t>
  </si>
  <si>
    <t>18) Omitir información al superior sobre la comisión de un hecho punible o de una falta disciplinaria;</t>
  </si>
  <si>
    <t>19) Respecto de cualquier medio de prueba relativo a la investigación de faltas disciplinarias o de hechos punibles:</t>
  </si>
  <si>
    <t>  21)   Realizar  actividades de  vigilancia, fiscalización o control que no corresponda prestar a la Institución;</t>
  </si>
  <si>
    <t>22) Exigir, solicitar, recibir o propiciar la entrega para sí o para un tercero, directa o indirectamente, de bienes o cualquier beneficio, para ejecutar, facilitar, retardar u omitir un acto propio o contrario a sus funciones y deberes;</t>
  </si>
  <si>
    <t>  25)       Ejercer, encubrir o propiciar la prostitución;</t>
  </si>
  <si>
    <t> 26)       Ejecutar actos sexuales en el lugar de trabajo o sector de responsabilidad donde presta el servicio;</t>
  </si>
  <si>
    <t>27) Realizar conductas tipificadas como delitos por la normativa penal;</t>
  </si>
  <si>
    <r>
      <rPr>
        <b/>
        <sz val="7"/>
        <rFont val="Calibri"/>
        <family val="2"/>
      </rPr>
      <t>4)</t>
    </r>
    <r>
      <rPr>
        <sz val="7"/>
        <rFont val="Calibri"/>
        <family val="2"/>
      </rPr>
      <t>    Faltar al respeto, mediante actos de descortesía o impropios, o empleando vocabulario soez, a los funcionarios del Estado, que no pertenezcan a la Institución Policial, a quienes se les deba asistencia o apoyo en el ejercicio de sus funciones;</t>
    </r>
  </si>
  <si>
    <r>
      <rPr>
        <b/>
        <sz val="7"/>
        <rFont val="Calibri"/>
        <family val="2"/>
        <scheme val="minor"/>
      </rPr>
      <t>4)</t>
    </r>
    <r>
      <rPr>
        <sz val="7"/>
        <rFont val="Calibri"/>
        <family val="2"/>
        <scheme val="minor"/>
      </rPr>
      <t>    Faltar al respeto, mediante actos de descortesía o impropios, o empleando vocabulario soez, a los funcionarios del Estado, que no pertenezcan a la Institución Policial, a quienes se les deba asistencia o apoyo en el ejercicio de sus funciones;</t>
    </r>
  </si>
  <si>
    <r>
      <rPr>
        <b/>
        <sz val="7"/>
        <rFont val="Calibri"/>
        <family val="2"/>
        <scheme val="minor"/>
      </rPr>
      <t>   12)</t>
    </r>
    <r>
      <rPr>
        <sz val="7"/>
        <rFont val="Calibri"/>
        <family val="2"/>
        <scheme val="minor"/>
      </rPr>
      <t>   Divulgar el contenido de documentos o información oficial que conozca por razón del cargo, cuando se perjudique el desarrollo de la labor policial o los derechos de las personas;</t>
    </r>
  </si>
  <si>
    <r>
      <rPr>
        <b/>
        <sz val="7"/>
        <rFont val="Calibri"/>
        <family val="2"/>
        <scheme val="minor"/>
      </rPr>
      <t> 14)</t>
    </r>
    <r>
      <rPr>
        <sz val="7"/>
        <rFont val="Calibri"/>
        <family val="2"/>
        <scheme val="minor"/>
      </rPr>
      <t>    Divulgar el contenido de documentos o información en el marco de una investigación penal o disciplinaria;</t>
    </r>
  </si>
  <si>
    <t>28) Ejercer actividades o recibir beneficios de negocios incompatibles con la función policial;</t>
  </si>
  <si>
    <t>29) Enajenar, pignorar, inutilizar, extraviar, perder, dañar o apropiarse de los bienes de la Institución, darles un uso o aplicación diferente al indicado o usarlos en beneficio propio o de un tercero;</t>
  </si>
  <si>
    <t>  30)       Enriquecerse ilícitamente;</t>
  </si>
  <si>
    <t>31) Mantener relaciones con aquellas personas con las que pueda existir algún conflicto de intereses  entre esa relación y la función o servicio policial;</t>
  </si>
  <si>
    <t>32) Incurrir en actos que, mediante elementos objetivos y concluyentes, riñan con el código de conducta y la doctrina policial que lleven a la pérdida de la confianza o que pueda afectar el ejercicio de la función y el servicio policial encomendado al miembro de la carrera; y,</t>
  </si>
  <si>
    <t>5) Presentarse al servicio bajo los efectos de drogas, estupefacientes o sustancias psicotrópicas;</t>
  </si>
  <si>
    <t>8) Realizar actos que impliquen tratos crueles, inhumanos, degradantes, discriminatorios o vejatorios a los compañeros, subordinados o a cualquier persona, agravándose la sanción cuando la víctima se encuentre bajo detención o custodia;</t>
  </si>
  <si>
    <t>12) Divulgar el contenido de documentos o información oficial que conozca por razón del cargo, cuando se perjudique el desarrollo de la labor policial o los derechos de las personas;</t>
  </si>
  <si>
    <t> 14)    Divulgar el contenido de documentos o información en el marco de una investigación penal o disciplinaria;</t>
  </si>
  <si>
    <t> 15) Mostrar un comportamiento negligente o incumplir las obligaciones profesionales o las inherentes al cargo, causando perjuicio al servicio o a terceros;</t>
  </si>
  <si>
    <t>17) Fomentar en el personal subordinado cualquier conducta tipificada como infracción disciplinaria;</t>
  </si>
  <si>
    <t>21) Realizar  actividades de  vigilancia, fiscalización o control que no corresponda prestar a la Institución;</t>
  </si>
  <si>
    <t>25) Ejercer, encubrir o propiciar la prostitución;</t>
  </si>
  <si>
    <t>26) Ejecutar actos sexuales en el lugar de trabajo o sector de responsabilidad donde presta el servicio;</t>
  </si>
  <si>
    <t> 31) Mantener relaciones con aquellas personas con las que pueda existir algún conflicto de intereses  entre esa relación y la función o servicio policial;</t>
  </si>
  <si>
    <r>
      <t>  </t>
    </r>
    <r>
      <rPr>
        <b/>
        <sz val="7"/>
        <rFont val="Calibri"/>
        <family val="2"/>
      </rPr>
      <t>30)  </t>
    </r>
    <r>
      <rPr>
        <sz val="7"/>
        <rFont val="Calibri"/>
        <family val="2"/>
      </rPr>
      <t>     Enriquecerse ilícitamente;</t>
    </r>
  </si>
  <si>
    <t>4) Perder o extraviar el armamento, las prendas de equipo e identificación policial asignado o recibido bajo custodia,  o darles un uso diferente a los fines institucionales o permitir su uso a terceros;</t>
  </si>
  <si>
    <t>7) Usar armas en actos del servicio o fuera de él con infracción de las normas que regulan su empleo, así como el descuido, imprudencia o exceso en el uso o manejo de las mismas, de la fuerza o de cualquier otro medio, siempre y cuando no se produzcan daños en la integridad de las personas o bienes;</t>
  </si>
  <si>
    <t>11) Prestar a título particular servicios de asistencia, asesoría o de cualquier naturaleza, en asuntos relacionados con funciones propias de su cargo y que riñan con el quehacer institucional;</t>
  </si>
  <si>
    <t>20) Negar injustificadamente al superior la colaboración o el apoyo necesario para la prestación del servicio, cuando no se afecte el desarrollo del mismo;</t>
  </si>
  <si>
    <t>26) No usar en el uniforme policial el ONI o no portar la placa policial, así como ocultar cualquiera de esos distintivos;</t>
  </si>
  <si>
    <t>28) Impedir, dificultar o limitar el libre ejercicio de los derechos de los subordinados o de cualquier persona;</t>
  </si>
  <si>
    <t>30) Realizar conductas tipificadas como faltas por la normativa penal;</t>
  </si>
  <si>
    <t>34) Prevalecerse de su cargo o investidura o conminar a otro mediante abuso de autoridad para obtener algún beneficio o ventaja para sí o para un tercero; y,</t>
  </si>
  <si>
    <r>
      <t>5)</t>
    </r>
    <r>
      <rPr>
        <b/>
        <sz val="7"/>
        <rFont val="Calibri"/>
        <family val="2"/>
        <scheme val="minor"/>
      </rPr>
      <t> </t>
    </r>
    <r>
      <rPr>
        <sz val="7"/>
        <rFont val="Calibri"/>
        <family val="2"/>
        <scheme val="minor"/>
      </rPr>
      <t>No informar acerca de los hechos que deban ser llevados a conocimiento del superior por razón del cargo o servicio o hacerlo con retardo, afectando el desarrollo del servicio;</t>
    </r>
  </si>
  <si>
    <r>
      <t>6)</t>
    </r>
    <r>
      <rPr>
        <b/>
        <sz val="7"/>
        <rFont val="Calibri"/>
        <family val="2"/>
        <scheme val="minor"/>
      </rPr>
      <t> </t>
    </r>
    <r>
      <rPr>
        <sz val="7"/>
        <rFont val="Calibri"/>
        <family val="2"/>
        <scheme val="minor"/>
      </rPr>
      <t>Incumplir las obligaciones profesionales relacionadas con la función policial o las inherentes al cargo;</t>
    </r>
  </si>
  <si>
    <r>
      <t>8)</t>
    </r>
    <r>
      <rPr>
        <b/>
        <sz val="7"/>
        <rFont val="Calibri"/>
        <family val="2"/>
        <scheme val="minor"/>
      </rPr>
      <t> </t>
    </r>
    <r>
      <rPr>
        <sz val="7"/>
        <rFont val="Calibri"/>
        <family val="2"/>
        <scheme val="minor"/>
      </rPr>
      <t>Mostrar manifiesta inconformidad con las órdenes, causando un perjuicio a la Institución, o ejecutarlas con negligencia o tardanza;</t>
    </r>
  </si>
  <si>
    <r>
      <t>27)</t>
    </r>
    <r>
      <rPr>
        <b/>
        <sz val="7"/>
        <rFont val="Calibri"/>
        <family val="2"/>
        <scheme val="minor"/>
      </rPr>
      <t> </t>
    </r>
    <r>
      <rPr>
        <sz val="7"/>
        <rFont val="Calibri"/>
        <family val="2"/>
        <scheme val="minor"/>
      </rPr>
      <t>Realizar actos o declaraciones que afecten el desarrollo del servicio, a la imagen de la Institución o que puedan perjudicar los derechos de un tercero;</t>
    </r>
  </si>
  <si>
    <t>4)  Perder o extraviar el armamento, las prendas de equipo e identificación policial asignado o recibido bajo custodia,  o darles un uso diferente a los fines institucionales o permitir su uso a terceros;</t>
  </si>
  <si>
    <t>6) Incumplir las obligaciones profesionales relacionadas con la función policial o las inherentes al cargo;</t>
  </si>
  <si>
    <t>8) Mostrar manifiesta inconformidad con las órdenes, causando un perjuicio a la Institución, o ejecutarlas con negligencia o tardanza;</t>
  </si>
  <si>
    <t>12) Omitir, retardar o no suministrar oportunamente, respuesta a las peticiones o solicitudes relacionadas con el servicio, que de manera decorosa, formulen los particulares;</t>
  </si>
  <si>
    <t> 13)      No asistir los miembros de los Tribunales a dos audiencias consecutivas o a tres audiencias no consecutivas en el mismo mes calendario;</t>
  </si>
  <si>
    <t>27) Realizar actos o declaraciones que afecten el desarrollo del servicio, a la imagen de la Institución o que puedan perjudicar los derechos de un tercero;</t>
  </si>
  <si>
    <t> 28)       Impedir, dificultar o limitar el libre ejercicio de los derechos de los subordinados o de cualquier persona;</t>
  </si>
  <si>
    <t>29) Obstaculizar, negar o no brindar oportunamente la cooperación necesaria en las investigaciones que realicen otras autoridades administrativas o judiciales;</t>
  </si>
  <si>
    <t> 30)       Realizar conductas tipificadas como faltas por la normativa penal;</t>
  </si>
  <si>
    <t>FALTAS Y SUS SANCIONES</t>
  </si>
  <si>
    <t xml:space="preserve">TOTAL DE FALTAS ATRIBUIDAS </t>
  </si>
  <si>
    <t>Degradación a la Categoria inmediata inferior</t>
  </si>
  <si>
    <t>FALTAS GRAVES (4-5 DIAS DE ARRESTO)</t>
  </si>
  <si>
    <t>24) Fomentar o ejecutar actos tendientes a la formación o mantenimiento de grupos armados al margen de la ley; promoverlos, auspiciarlos, financiarlos, organizarlos, instruirlos, dirigirlos, tolerarlos o colaborar con ellos, ya sea al interior de la Institución o fuera de la misma;</t>
  </si>
  <si>
    <t xml:space="preserve"> AUDIENCIAS DISCIPLINARIAS </t>
  </si>
  <si>
    <t xml:space="preserve"> AUDIENCIAS  DE APELACIONES</t>
  </si>
  <si>
    <t xml:space="preserve">* Fuente: Base de datos del Departamento de Administración y Finanzas de </t>
  </si>
  <si>
    <t>"SFM"</t>
  </si>
  <si>
    <t>NUMERO DE AUDIENCIAS DISCIPLINARIAS PROGRAMADAS POR LOS DIFERENTES TRIBUNALES DISCIPLINARIOS A NIVEL NACIONAL
ENERO-MARZO DE 2017</t>
  </si>
  <si>
    <t>NUMERO DE AUDIENCIAS EN TRIBUNALES DE APELACIONES
ENERO-MARZO DE 2017</t>
  </si>
  <si>
    <t>RESULTADO DE AUDIENCIAS PROGRAMADAS Y REALIZADAS POR LOS DIFERENTES TRIBUNALES DISCIPLINARIOS A NIVEL NACIONAL
ENERO-MARZO DE  2017</t>
  </si>
  <si>
    <t>RESULTADO DE AUDIENCIAS PROGRAMADAS Y REALIZADAS EN LOS TRIBUNALES DE APELACIONES
ENERO-MARZO DE 2017</t>
  </si>
  <si>
    <t>FALTAS MUY GRAVES ATRIBUIDAS A PERSONAL DESTITUIDO POR LOS DIFERENTES TRIBUNALES DISCIPLINARIOS
 ENERO-MARZO DE 2017</t>
  </si>
  <si>
    <t>NUMERO DE MIEMBROS DE LA POLICIA NACIONAL CIVIL, DESTITUIDOS
ENERO-MARZO DE 2017</t>
  </si>
  <si>
    <t xml:space="preserve"> TIPO DE FALTAS MUY GRAVES POR LAS QUE LOS DIFERENTES TRIBUNALES DISCIPLINARIOS SANCIONARON CON SUSPENSION DEL CARGO SIN GOCE DE SUELDO DE 91 A 180 DÍAS
ENERO-MARZO DE 2017</t>
  </si>
  <si>
    <t>NUMERO DE MIEMBROS DE LA POLICIA NACIONAL CIVIL, SANCIONADOS CON SUSPENSION DEL CARGO SIN GOCE DE SUELDO DE 91 A 180 DÍAS
ENERO-MARZO DE 2017</t>
  </si>
  <si>
    <t xml:space="preserve"> TIPO DE FALTAS GRAVES POR LAS QUE LOS DIFERENTES TRIBUNALES DISCIPLINARIOS SANCIONARON CON SUSPENSION DEL CARGO SIN GOCE DE SUELDO DE 16 A 90 DÍAS
ENERO-MARZO DE 2017</t>
  </si>
  <si>
    <t>NUMERO DE MIEMBROS DE LA POLICIA NACIONAL CIVIL, SANCIONADOS CON SUSPENSION DEL CARGO SIN GOCE DE SUELDO DE 16 A 90  DÍAS - ENERO-MARZO DE 2017</t>
  </si>
  <si>
    <t xml:space="preserve"> TIPO DE FALTAS GRAVES POR LAS QUE LOS DIFERENTES TRIBUNALES DISCIPLINARIOS SANCIONARON CON SUSPENSION DEL CARGO SIN GOCE DE SUELDO DE 4 A 5 DÍAS
ENERO-MARZO DE 2017</t>
  </si>
  <si>
    <t>NUMERO DE MIEMBROS DE LA POLICIA NACIONAL CIVIL, 
SANCIONADOS CON ARRESTO SIN GOCE DE 
SUELDO DE 4 A 5 DÍAS - ENERO-MARZO DE  2017</t>
  </si>
  <si>
    <t>TOTAL DE FALTAS SANCIONADAS 
DE ENERO-MARZO DE 2017</t>
  </si>
  <si>
    <t>FALTAS ATRIBUIDAS A MIEMBROS DE LA PNC DE ENERO A MARZO -2017</t>
  </si>
  <si>
    <t>NUMERO DE POLICIAS SANCIONADOS POR DIFERENTES FALTAS 
Y EL TIPO DE SANCION IMPUESTA POR LOS TRIBUNALES DISCIPLINARIOS  
ENERO-MARZO-2017</t>
  </si>
  <si>
    <t>REGIONAL
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</si>
</sst>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€]_-;\-* #,##0.00\ [$€]_-;_-* &quot;-&quot;??\ [$€]_-;_-@_-"/>
    <numFmt numFmtId="165" formatCode="0.0"/>
    <numFmt numFmtId="166" formatCode="#,##0.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7"/>
      <name val="Times New Roman"/>
      <family val="1"/>
    </font>
    <font>
      <b/>
      <sz val="7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7"/>
      <name val="Times New Roman"/>
      <family val="1"/>
    </font>
    <font>
      <sz val="7"/>
      <name val="Arial"/>
      <family val="2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name val="Calibri"/>
      <family val="2"/>
    </font>
    <font>
      <sz val="7"/>
      <name val="Calibri"/>
      <family val="2"/>
      <scheme val="minor"/>
    </font>
    <font>
      <b/>
      <sz val="7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0">
    <xf numFmtId="0" fontId="0" fillId="0" borderId="0" xfId="0"/>
    <xf numFmtId="0" fontId="9" fillId="0" borderId="1" xfId="0" applyFont="1" applyBorder="1" applyAlignment="1">
      <alignment horizontal="justify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165" fontId="11" fillId="0" borderId="6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justify"/>
    </xf>
    <xf numFmtId="0" fontId="12" fillId="0" borderId="0" xfId="0" applyFont="1" applyBorder="1" applyAlignment="1">
      <alignment horizontal="center" vertical="top" wrapText="1"/>
    </xf>
    <xf numFmtId="165" fontId="11" fillId="0" borderId="0" xfId="0" applyNumberFormat="1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0" xfId="0" applyFont="1" applyBorder="1"/>
    <xf numFmtId="0" fontId="15" fillId="0" borderId="0" xfId="0" applyFont="1" applyFill="1" applyBorder="1"/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0" xfId="0" applyFill="1"/>
    <xf numFmtId="0" fontId="13" fillId="3" borderId="6" xfId="0" applyFont="1" applyFill="1" applyBorder="1" applyAlignment="1">
      <alignment horizontal="center" vertical="center" textRotation="90" wrapText="1"/>
    </xf>
    <xf numFmtId="165" fontId="13" fillId="3" borderId="6" xfId="0" applyNumberFormat="1" applyFont="1" applyFill="1" applyBorder="1" applyAlignment="1">
      <alignment horizontal="center" vertical="center" textRotation="90" wrapText="1"/>
    </xf>
    <xf numFmtId="0" fontId="12" fillId="6" borderId="6" xfId="0" applyFont="1" applyFill="1" applyBorder="1" applyAlignment="1">
      <alignment horizontal="center" vertical="center" textRotation="90" wrapText="1"/>
    </xf>
    <xf numFmtId="0" fontId="13" fillId="7" borderId="6" xfId="0" applyFont="1" applyFill="1" applyBorder="1" applyAlignment="1">
      <alignment horizontal="center" vertical="center" textRotation="90" wrapText="1"/>
    </xf>
    <xf numFmtId="0" fontId="13" fillId="6" borderId="6" xfId="0" applyFont="1" applyFill="1" applyBorder="1" applyAlignment="1">
      <alignment horizontal="center" vertical="center" textRotation="90"/>
    </xf>
    <xf numFmtId="0" fontId="13" fillId="7" borderId="6" xfId="0" applyFont="1" applyFill="1" applyBorder="1" applyAlignment="1">
      <alignment horizontal="center" vertical="center" textRotation="90"/>
    </xf>
    <xf numFmtId="0" fontId="16" fillId="3" borderId="6" xfId="0" applyFont="1" applyFill="1" applyBorder="1" applyAlignment="1">
      <alignment horizontal="center" vertical="center"/>
    </xf>
    <xf numFmtId="0" fontId="15" fillId="0" borderId="1" xfId="0" applyFont="1" applyBorder="1" applyAlignment="1"/>
    <xf numFmtId="0" fontId="17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65" fontId="17" fillId="0" borderId="1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0" fillId="0" borderId="0" xfId="0" applyFont="1"/>
    <xf numFmtId="0" fontId="20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3" fillId="5" borderId="0" xfId="0" applyFont="1" applyFill="1" applyBorder="1" applyAlignment="1">
      <alignment horizontal="center" vertical="center" textRotation="90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0" fillId="0" borderId="0" xfId="0" applyFill="1" applyBorder="1"/>
    <xf numFmtId="0" fontId="13" fillId="6" borderId="25" xfId="0" applyFont="1" applyFill="1" applyBorder="1" applyAlignment="1">
      <alignment horizontal="center" vertical="center" textRotation="90"/>
    </xf>
    <xf numFmtId="0" fontId="13" fillId="7" borderId="22" xfId="0" applyFont="1" applyFill="1" applyBorder="1" applyAlignment="1">
      <alignment horizontal="center" vertical="center" textRotation="90" wrapText="1"/>
    </xf>
    <xf numFmtId="0" fontId="21" fillId="0" borderId="19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/>
    </xf>
    <xf numFmtId="0" fontId="13" fillId="7" borderId="24" xfId="0" applyFont="1" applyFill="1" applyBorder="1" applyAlignment="1">
      <alignment horizontal="center" vertical="center" textRotation="90" wrapText="1"/>
    </xf>
    <xf numFmtId="0" fontId="8" fillId="5" borderId="0" xfId="0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 vertical="center" textRotation="90" wrapText="1"/>
    </xf>
    <xf numFmtId="0" fontId="0" fillId="5" borderId="0" xfId="0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13" fillId="6" borderId="28" xfId="0" applyFont="1" applyFill="1" applyBorder="1" applyAlignment="1">
      <alignment horizontal="center" vertical="center" textRotation="90"/>
    </xf>
    <xf numFmtId="0" fontId="0" fillId="5" borderId="29" xfId="0" applyFill="1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5" borderId="12" xfId="0" applyFill="1" applyBorder="1"/>
    <xf numFmtId="0" fontId="0" fillId="0" borderId="32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17" fillId="0" borderId="35" xfId="0" applyFont="1" applyBorder="1" applyAlignment="1">
      <alignment horizontal="center" vertical="center" wrapText="1"/>
    </xf>
    <xf numFmtId="0" fontId="13" fillId="6" borderId="36" xfId="0" applyFont="1" applyFill="1" applyBorder="1" applyAlignment="1">
      <alignment horizontal="center" vertical="center" textRotation="90"/>
    </xf>
    <xf numFmtId="0" fontId="13" fillId="7" borderId="36" xfId="0" applyFont="1" applyFill="1" applyBorder="1" applyAlignment="1">
      <alignment horizontal="center" vertical="center" textRotation="90" wrapText="1"/>
    </xf>
    <xf numFmtId="2" fontId="0" fillId="0" borderId="31" xfId="0" applyNumberFormat="1" applyBorder="1" applyAlignment="1">
      <alignment horizontal="right"/>
    </xf>
    <xf numFmtId="2" fontId="0" fillId="0" borderId="32" xfId="0" applyNumberFormat="1" applyBorder="1" applyAlignment="1">
      <alignment horizontal="right"/>
    </xf>
    <xf numFmtId="0" fontId="0" fillId="5" borderId="37" xfId="0" applyFill="1" applyBorder="1"/>
    <xf numFmtId="0" fontId="0" fillId="0" borderId="38" xfId="0" applyBorder="1" applyAlignment="1">
      <alignment horizontal="center"/>
    </xf>
    <xf numFmtId="0" fontId="2" fillId="0" borderId="34" xfId="0" applyFont="1" applyBorder="1" applyAlignment="1">
      <alignment horizontal="center"/>
    </xf>
    <xf numFmtId="2" fontId="2" fillId="0" borderId="39" xfId="0" applyNumberFormat="1" applyFont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3" fillId="6" borderId="7" xfId="0" applyFont="1" applyFill="1" applyBorder="1" applyAlignment="1">
      <alignment horizontal="center" vertical="center" textRotation="90"/>
    </xf>
    <xf numFmtId="0" fontId="13" fillId="7" borderId="7" xfId="0" applyFont="1" applyFill="1" applyBorder="1" applyAlignment="1">
      <alignment horizontal="center" vertical="center" textRotation="90" wrapText="1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5" borderId="44" xfId="0" applyFill="1" applyBorder="1"/>
    <xf numFmtId="0" fontId="0" fillId="0" borderId="12" xfId="0" applyBorder="1" applyAlignment="1">
      <alignment horizontal="center"/>
    </xf>
    <xf numFmtId="0" fontId="12" fillId="6" borderId="35" xfId="0" applyFont="1" applyFill="1" applyBorder="1" applyAlignment="1">
      <alignment horizontal="center" vertical="center" textRotation="90" wrapText="1"/>
    </xf>
    <xf numFmtId="0" fontId="12" fillId="6" borderId="36" xfId="0" applyFont="1" applyFill="1" applyBorder="1" applyAlignment="1">
      <alignment horizontal="center" vertical="center" textRotation="90" wrapText="1"/>
    </xf>
    <xf numFmtId="0" fontId="13" fillId="7" borderId="43" xfId="0" applyFont="1" applyFill="1" applyBorder="1" applyAlignment="1">
      <alignment horizontal="center" vertical="center" textRotation="90"/>
    </xf>
    <xf numFmtId="0" fontId="0" fillId="0" borderId="29" xfId="0" applyBorder="1" applyAlignment="1">
      <alignment horizontal="center"/>
    </xf>
    <xf numFmtId="0" fontId="0" fillId="5" borderId="15" xfId="0" applyFill="1" applyBorder="1"/>
    <xf numFmtId="0" fontId="0" fillId="0" borderId="19" xfId="0" applyBorder="1"/>
    <xf numFmtId="0" fontId="0" fillId="0" borderId="25" xfId="0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5" borderId="45" xfId="0" applyFill="1" applyBorder="1"/>
    <xf numFmtId="0" fontId="0" fillId="0" borderId="16" xfId="0" applyBorder="1"/>
    <xf numFmtId="0" fontId="8" fillId="0" borderId="19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5" xfId="0" applyFont="1" applyBorder="1"/>
    <xf numFmtId="0" fontId="22" fillId="0" borderId="17" xfId="0" applyFont="1" applyBorder="1" applyAlignment="1">
      <alignment horizontal="center"/>
    </xf>
    <xf numFmtId="0" fontId="14" fillId="3" borderId="6" xfId="0" applyFont="1" applyFill="1" applyBorder="1" applyAlignment="1">
      <alignment horizontal="center" vertical="center" textRotation="90" wrapText="1"/>
    </xf>
    <xf numFmtId="165" fontId="0" fillId="0" borderId="32" xfId="0" applyNumberFormat="1" applyBorder="1" applyAlignment="1">
      <alignment horizontal="right"/>
    </xf>
    <xf numFmtId="165" fontId="0" fillId="0" borderId="40" xfId="0" applyNumberFormat="1" applyBorder="1" applyAlignment="1">
      <alignment horizontal="right"/>
    </xf>
    <xf numFmtId="0" fontId="24" fillId="0" borderId="6" xfId="0" applyFont="1" applyBorder="1" applyAlignment="1">
      <alignment horizontal="justify"/>
    </xf>
    <xf numFmtId="0" fontId="25" fillId="0" borderId="6" xfId="0" applyFont="1" applyBorder="1" applyAlignment="1">
      <alignment horizontal="justify"/>
    </xf>
    <xf numFmtId="0" fontId="24" fillId="0" borderId="1" xfId="0" applyFont="1" applyBorder="1" applyAlignment="1">
      <alignment horizontal="justify"/>
    </xf>
    <xf numFmtId="0" fontId="25" fillId="0" borderId="1" xfId="0" applyFont="1" applyBorder="1" applyAlignment="1">
      <alignment horizontal="justify"/>
    </xf>
    <xf numFmtId="0" fontId="27" fillId="4" borderId="1" xfId="0" applyFont="1" applyFill="1" applyBorder="1" applyAlignment="1">
      <alignment horizontal="center"/>
    </xf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5" borderId="33" xfId="0" applyFill="1" applyBorder="1"/>
    <xf numFmtId="0" fontId="0" fillId="0" borderId="48" xfId="0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6" borderId="49" xfId="0" applyFont="1" applyFill="1" applyBorder="1" applyAlignment="1">
      <alignment horizontal="center" vertical="center" textRotation="90"/>
    </xf>
    <xf numFmtId="0" fontId="17" fillId="0" borderId="20" xfId="0" applyFont="1" applyBorder="1" applyAlignment="1">
      <alignment horizontal="center" vertical="center" wrapText="1"/>
    </xf>
    <xf numFmtId="0" fontId="0" fillId="0" borderId="0" xfId="0" applyFont="1" applyBorder="1"/>
    <xf numFmtId="0" fontId="23" fillId="0" borderId="0" xfId="0" applyFont="1" applyAlignment="1"/>
    <xf numFmtId="0" fontId="20" fillId="5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11" fillId="5" borderId="6" xfId="0" quotePrefix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0" borderId="1" xfId="0" applyFont="1" applyFill="1" applyBorder="1" applyAlignment="1">
      <alignment horizontal="left" inden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4" fillId="0" borderId="1" xfId="0" applyFont="1" applyBorder="1" applyAlignment="1">
      <alignment horizontal="justify" vertical="center"/>
    </xf>
    <xf numFmtId="0" fontId="8" fillId="0" borderId="24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4" borderId="19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wrapText="1"/>
    </xf>
    <xf numFmtId="0" fontId="8" fillId="4" borderId="2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22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top" wrapText="1"/>
    </xf>
    <xf numFmtId="0" fontId="22" fillId="0" borderId="4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7" fillId="4" borderId="35" xfId="0" applyFont="1" applyFill="1" applyBorder="1" applyAlignment="1">
      <alignment horizontal="center"/>
    </xf>
    <xf numFmtId="0" fontId="17" fillId="4" borderId="36" xfId="0" applyFont="1" applyFill="1" applyBorder="1" applyAlignment="1">
      <alignment horizontal="center"/>
    </xf>
    <xf numFmtId="0" fontId="17" fillId="4" borderId="43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166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7" fillId="4" borderId="19" xfId="0" applyFont="1" applyFill="1" applyBorder="1" applyAlignment="1">
      <alignment horizontal="center"/>
    </xf>
    <xf numFmtId="0" fontId="17" fillId="4" borderId="25" xfId="0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 wrapText="1"/>
    </xf>
    <xf numFmtId="0" fontId="18" fillId="4" borderId="4" xfId="0" applyFont="1" applyFill="1" applyBorder="1" applyAlignment="1">
      <alignment horizontal="center" wrapText="1"/>
    </xf>
    <xf numFmtId="0" fontId="18" fillId="4" borderId="5" xfId="0" applyFont="1" applyFill="1" applyBorder="1" applyAlignment="1">
      <alignment horizont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wrapText="1"/>
    </xf>
    <xf numFmtId="0" fontId="3" fillId="6" borderId="14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17" fillId="4" borderId="24" xfId="0" applyFont="1" applyFill="1" applyBorder="1" applyAlignment="1">
      <alignment horizontal="center"/>
    </xf>
    <xf numFmtId="0" fontId="12" fillId="0" borderId="8" xfId="0" applyFont="1" applyBorder="1" applyAlignment="1">
      <alignment horizontal="left" vertical="top" wrapText="1"/>
    </xf>
    <xf numFmtId="0" fontId="18" fillId="6" borderId="27" xfId="0" applyFont="1" applyFill="1" applyBorder="1" applyAlignment="1">
      <alignment horizontal="center" vertical="center" wrapText="1"/>
    </xf>
    <xf numFmtId="0" fontId="18" fillId="6" borderId="26" xfId="0" applyFont="1" applyFill="1" applyBorder="1" applyAlignment="1">
      <alignment horizontal="center" vertical="center" wrapText="1"/>
    </xf>
    <xf numFmtId="0" fontId="18" fillId="6" borderId="22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6" borderId="21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6" fillId="6" borderId="27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6" fillId="6" borderId="22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wrapText="1"/>
    </xf>
    <xf numFmtId="0" fontId="8" fillId="6" borderId="26" xfId="0" applyFont="1" applyFill="1" applyBorder="1" applyAlignment="1">
      <alignment horizontal="center" wrapText="1"/>
    </xf>
    <xf numFmtId="0" fontId="8" fillId="6" borderId="22" xfId="0" applyFont="1" applyFill="1" applyBorder="1" applyAlignment="1">
      <alignment horizontal="center" wrapText="1"/>
    </xf>
    <xf numFmtId="0" fontId="8" fillId="6" borderId="11" xfId="0" applyFont="1" applyFill="1" applyBorder="1" applyAlignment="1">
      <alignment horizontal="center" wrapText="1"/>
    </xf>
    <xf numFmtId="0" fontId="8" fillId="6" borderId="21" xfId="0" applyFon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mruColors>
      <color rgb="FFFFFFCC"/>
      <color rgb="FFCCFFFF"/>
      <color rgb="FF33CCFF"/>
      <color rgb="FF66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SV"/>
              <a:t>Faltas atribuidas a miembros de la PNC según Categoría Enero - ........ 2016</a:t>
            </a:r>
          </a:p>
        </c:rich>
      </c:tx>
      <c:layout>
        <c:manualLayout>
          <c:xMode val="edge"/>
          <c:yMode val="edge"/>
          <c:x val="0.13611510379384395"/>
          <c:y val="2.21606648199445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121212121212118E-2"/>
          <c:y val="0.28223239832059299"/>
          <c:w val="0.81090909090909091"/>
          <c:h val="0.3296116012623293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[1]Hoja1!$B$7</c:f>
              <c:strCache>
                <c:ptCount val="1"/>
                <c:pt idx="0">
                  <c:v>DESTITUIDOS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[1]Hoja1!$C$5:$J$6</c:f>
              <c:strCache>
                <c:ptCount val="8"/>
                <c:pt idx="0">
                  <c:v>INSP</c:v>
                </c:pt>
                <c:pt idx="1">
                  <c:v>S.INSP.</c:v>
                </c:pt>
                <c:pt idx="2">
                  <c:v>SGTO</c:v>
                </c:pt>
                <c:pt idx="3">
                  <c:v>CABO</c:v>
                </c:pt>
                <c:pt idx="4">
                  <c:v>AGTE</c:v>
                </c:pt>
                <c:pt idx="5">
                  <c:v>SUPERN.</c:v>
                </c:pt>
                <c:pt idx="6">
                  <c:v>ADMIVO.</c:v>
                </c:pt>
                <c:pt idx="7">
                  <c:v>TOTAL </c:v>
                </c:pt>
              </c:strCache>
            </c:strRef>
          </c:cat>
          <c:val>
            <c:numRef>
              <c:f>[1]Hoja1!$C$7:$J$7</c:f>
              <c:numCache>
                <c:formatCode>General</c:formatCode>
                <c:ptCount val="8"/>
                <c:pt idx="2">
                  <c:v>7</c:v>
                </c:pt>
                <c:pt idx="3">
                  <c:v>5</c:v>
                </c:pt>
                <c:pt idx="4">
                  <c:v>82</c:v>
                </c:pt>
                <c:pt idx="6">
                  <c:v>12</c:v>
                </c:pt>
                <c:pt idx="7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E-4D64-BCAC-B7346F80D572}"/>
            </c:ext>
          </c:extLst>
        </c:ser>
        <c:ser>
          <c:idx val="1"/>
          <c:order val="1"/>
          <c:tx>
            <c:strRef>
              <c:f>[1]Hoja1!$B$8</c:f>
              <c:strCache>
                <c:ptCount val="1"/>
                <c:pt idx="0">
                  <c:v>FALTAS MUY GRAVES (91-180 DIAS)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[1]Hoja1!$C$5:$J$6</c:f>
              <c:strCache>
                <c:ptCount val="8"/>
                <c:pt idx="0">
                  <c:v>INSP</c:v>
                </c:pt>
                <c:pt idx="1">
                  <c:v>S.INSP.</c:v>
                </c:pt>
                <c:pt idx="2">
                  <c:v>SGTO</c:v>
                </c:pt>
                <c:pt idx="3">
                  <c:v>CABO</c:v>
                </c:pt>
                <c:pt idx="4">
                  <c:v>AGTE</c:v>
                </c:pt>
                <c:pt idx="5">
                  <c:v>SUPERN.</c:v>
                </c:pt>
                <c:pt idx="6">
                  <c:v>ADMIVO.</c:v>
                </c:pt>
                <c:pt idx="7">
                  <c:v>TOTAL </c:v>
                </c:pt>
              </c:strCache>
            </c:strRef>
          </c:cat>
          <c:val>
            <c:numRef>
              <c:f>[1]Hoja1!$C$8:$J$8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15</c:v>
                </c:pt>
                <c:pt idx="4">
                  <c:v>212</c:v>
                </c:pt>
                <c:pt idx="5">
                  <c:v>10</c:v>
                </c:pt>
                <c:pt idx="6">
                  <c:v>10</c:v>
                </c:pt>
                <c:pt idx="7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E-4D64-BCAC-B7346F80D572}"/>
            </c:ext>
          </c:extLst>
        </c:ser>
        <c:ser>
          <c:idx val="2"/>
          <c:order val="2"/>
          <c:tx>
            <c:strRef>
              <c:f>[1]Hoja1!$B$9</c:f>
              <c:strCache>
                <c:ptCount val="1"/>
                <c:pt idx="0">
                  <c:v>FALTAS GRAVES (16-90 DIAS)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[1]Hoja1!$C$5:$J$6</c:f>
              <c:strCache>
                <c:ptCount val="8"/>
                <c:pt idx="0">
                  <c:v>INSP</c:v>
                </c:pt>
                <c:pt idx="1">
                  <c:v>S.INSP.</c:v>
                </c:pt>
                <c:pt idx="2">
                  <c:v>SGTO</c:v>
                </c:pt>
                <c:pt idx="3">
                  <c:v>CABO</c:v>
                </c:pt>
                <c:pt idx="4">
                  <c:v>AGTE</c:v>
                </c:pt>
                <c:pt idx="5">
                  <c:v>SUPERN.</c:v>
                </c:pt>
                <c:pt idx="6">
                  <c:v>ADMIVO.</c:v>
                </c:pt>
                <c:pt idx="7">
                  <c:v>TOTAL </c:v>
                </c:pt>
              </c:strCache>
            </c:strRef>
          </c:cat>
          <c:val>
            <c:numRef>
              <c:f>[1]Hoja1!$C$9:$J$9</c:f>
              <c:numCache>
                <c:formatCode>General</c:formatCode>
                <c:ptCount val="8"/>
                <c:pt idx="1">
                  <c:v>2</c:v>
                </c:pt>
                <c:pt idx="2">
                  <c:v>7</c:v>
                </c:pt>
                <c:pt idx="3">
                  <c:v>5</c:v>
                </c:pt>
                <c:pt idx="4">
                  <c:v>90</c:v>
                </c:pt>
                <c:pt idx="5">
                  <c:v>4</c:v>
                </c:pt>
                <c:pt idx="6">
                  <c:v>9</c:v>
                </c:pt>
                <c:pt idx="7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1E-4D64-BCAC-B7346F80D572}"/>
            </c:ext>
          </c:extLst>
        </c:ser>
        <c:ser>
          <c:idx val="3"/>
          <c:order val="3"/>
          <c:tx>
            <c:strRef>
              <c:f>[1]Hoja1!$B$10</c:f>
              <c:strCache>
                <c:ptCount val="1"/>
                <c:pt idx="0">
                  <c:v>FALTAS GRAVES (4-5 DIAS)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[1]Hoja1!$C$5:$J$6</c:f>
              <c:strCache>
                <c:ptCount val="8"/>
                <c:pt idx="0">
                  <c:v>INSP</c:v>
                </c:pt>
                <c:pt idx="1">
                  <c:v>S.INSP.</c:v>
                </c:pt>
                <c:pt idx="2">
                  <c:v>SGTO</c:v>
                </c:pt>
                <c:pt idx="3">
                  <c:v>CABO</c:v>
                </c:pt>
                <c:pt idx="4">
                  <c:v>AGTE</c:v>
                </c:pt>
                <c:pt idx="5">
                  <c:v>SUPERN.</c:v>
                </c:pt>
                <c:pt idx="6">
                  <c:v>ADMIVO.</c:v>
                </c:pt>
                <c:pt idx="7">
                  <c:v>TOTAL </c:v>
                </c:pt>
              </c:strCache>
            </c:strRef>
          </c:cat>
          <c:val>
            <c:numRef>
              <c:f>[1]Hoja1!$C$10:$J$10</c:f>
              <c:numCache>
                <c:formatCode>General</c:formatCode>
                <c:ptCount val="8"/>
                <c:pt idx="1">
                  <c:v>1</c:v>
                </c:pt>
                <c:pt idx="2">
                  <c:v>2</c:v>
                </c:pt>
                <c:pt idx="3">
                  <c:v>9</c:v>
                </c:pt>
                <c:pt idx="4">
                  <c:v>86</c:v>
                </c:pt>
                <c:pt idx="5">
                  <c:v>1</c:v>
                </c:pt>
                <c:pt idx="6">
                  <c:v>11</c:v>
                </c:pt>
                <c:pt idx="7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1E-4D64-BCAC-B7346F80D572}"/>
            </c:ext>
          </c:extLst>
        </c:ser>
        <c:ser>
          <c:idx val="4"/>
          <c:order val="4"/>
          <c:tx>
            <c:strRef>
              <c:f>[1]Hoja1!$B$11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[1]Hoja1!$C$5:$J$6</c:f>
              <c:strCache>
                <c:ptCount val="8"/>
                <c:pt idx="0">
                  <c:v>INSP</c:v>
                </c:pt>
                <c:pt idx="1">
                  <c:v>S.INSP.</c:v>
                </c:pt>
                <c:pt idx="2">
                  <c:v>SGTO</c:v>
                </c:pt>
                <c:pt idx="3">
                  <c:v>CABO</c:v>
                </c:pt>
                <c:pt idx="4">
                  <c:v>AGTE</c:v>
                </c:pt>
                <c:pt idx="5">
                  <c:v>SUPERN.</c:v>
                </c:pt>
                <c:pt idx="6">
                  <c:v>ADMIVO.</c:v>
                </c:pt>
                <c:pt idx="7">
                  <c:v>TOTAL </c:v>
                </c:pt>
              </c:strCache>
            </c:strRef>
          </c:cat>
          <c:val>
            <c:numRef>
              <c:f>[1]Hoja1!$C$11:$J$11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551E-4D64-BCAC-B7346F80D572}"/>
            </c:ext>
          </c:extLst>
        </c:ser>
        <c:ser>
          <c:idx val="5"/>
          <c:order val="5"/>
          <c:tx>
            <c:strRef>
              <c:f>[1]Hoja1!$B$12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[1]Hoja1!$C$5:$J$6</c:f>
              <c:strCache>
                <c:ptCount val="8"/>
                <c:pt idx="0">
                  <c:v>INSP</c:v>
                </c:pt>
                <c:pt idx="1">
                  <c:v>S.INSP.</c:v>
                </c:pt>
                <c:pt idx="2">
                  <c:v>SGTO</c:v>
                </c:pt>
                <c:pt idx="3">
                  <c:v>CABO</c:v>
                </c:pt>
                <c:pt idx="4">
                  <c:v>AGTE</c:v>
                </c:pt>
                <c:pt idx="5">
                  <c:v>SUPERN.</c:v>
                </c:pt>
                <c:pt idx="6">
                  <c:v>ADMIVO.</c:v>
                </c:pt>
                <c:pt idx="7">
                  <c:v>TOTAL </c:v>
                </c:pt>
              </c:strCache>
            </c:strRef>
          </c:cat>
          <c:val>
            <c:numRef>
              <c:f>[1]Hoja1!$C$12:$J$12</c:f>
              <c:numCache>
                <c:formatCode>General</c:formatCode>
                <c:ptCount val="8"/>
                <c:pt idx="0">
                  <c:v>1</c:v>
                </c:pt>
                <c:pt idx="1">
                  <c:v>5</c:v>
                </c:pt>
                <c:pt idx="2">
                  <c:v>23</c:v>
                </c:pt>
                <c:pt idx="3">
                  <c:v>34</c:v>
                </c:pt>
                <c:pt idx="4">
                  <c:v>470</c:v>
                </c:pt>
                <c:pt idx="5">
                  <c:v>15</c:v>
                </c:pt>
                <c:pt idx="6">
                  <c:v>42</c:v>
                </c:pt>
                <c:pt idx="7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1E-4D64-BCAC-B7346F80D57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5347480"/>
        <c:axId val="195351008"/>
      </c:barChart>
      <c:catAx>
        <c:axId val="195347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US"/>
          </a:p>
        </c:txPr>
        <c:crossAx val="195351008"/>
        <c:crosses val="autoZero"/>
        <c:auto val="1"/>
        <c:lblAlgn val="ctr"/>
        <c:lblOffset val="100"/>
        <c:noMultiLvlLbl val="0"/>
      </c:catAx>
      <c:valAx>
        <c:axId val="195351008"/>
        <c:scaling>
          <c:orientation val="minMax"/>
        </c:scaling>
        <c:delete val="1"/>
        <c:axPos val="l"/>
        <c:majorGridlines/>
        <c:numFmt formatCode="0%" sourceLinked="1"/>
        <c:majorTickMark val="none"/>
        <c:minorTickMark val="none"/>
        <c:tickLblPos val="nextTo"/>
        <c:crossAx val="195347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533953710331668E-2"/>
          <c:y val="0.73261618624619618"/>
          <c:w val="0.80396239560963967"/>
          <c:h val="0.24522297868025547"/>
        </c:manualLayout>
      </c:layout>
      <c:overlay val="0"/>
      <c:txPr>
        <a:bodyPr rot="0" vert="horz"/>
        <a:lstStyle/>
        <a:p>
          <a:pPr>
            <a:defRPr/>
          </a:pPr>
          <a:endParaRPr lang="es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Faltas</a:t>
            </a:r>
            <a:r>
              <a:rPr lang="en-US" baseline="0"/>
              <a:t> atribuidas al genero masculino  </a:t>
            </a:r>
            <a:br>
              <a:rPr lang="en-US" baseline="0"/>
            </a:br>
            <a:r>
              <a:rPr lang="en-US" baseline="0"/>
              <a:t>       enero-marzo-2017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'Genero y Categoria'!$C$4:$C$5</c:f>
              <c:strCache>
                <c:ptCount val="2"/>
                <c:pt idx="0">
                  <c:v>GENERO</c:v>
                </c:pt>
                <c:pt idx="1">
                  <c:v>MASCULINO</c:v>
                </c:pt>
              </c:strCache>
            </c:strRef>
          </c:tx>
          <c:dLbls>
            <c:dLbl>
              <c:idx val="0"/>
              <c:layout>
                <c:manualLayout>
                  <c:x val="-2.2459770450771584E-2"/>
                  <c:y val="9.245225264761880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38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874149659863935E-2"/>
                      <c:h val="0.101088357174344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F69-48D5-8006-6771E52ECCC3}"/>
                </c:ext>
              </c:extLst>
            </c:dLbl>
            <c:dLbl>
              <c:idx val="1"/>
              <c:layout>
                <c:manualLayout>
                  <c:x val="-8.7982995786382481E-2"/>
                  <c:y val="4.3074944857278939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/>
                        </a:solidFill>
                      </a:rPr>
                      <a:t>264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69-48D5-8006-6771E52ECCC3}"/>
                </c:ext>
              </c:extLst>
            </c:dLbl>
            <c:dLbl>
              <c:idx val="2"/>
              <c:layout>
                <c:manualLayout>
                  <c:x val="-5.418786993939545E-2"/>
                  <c:y val="-0.19788820810482771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/>
                        </a:solidFill>
                      </a:rPr>
                      <a:t>127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F69-48D5-8006-6771E52ECCC3}"/>
                </c:ext>
              </c:extLst>
            </c:dLbl>
            <c:dLbl>
              <c:idx val="3"/>
              <c:layout>
                <c:manualLayout>
                  <c:x val="-1.4418286999839307E-3"/>
                  <c:y val="-0.22677594229150261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bg1"/>
                        </a:solidFill>
                      </a:rPr>
                      <a:t>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69-48D5-8006-6771E52ECCC3}"/>
                </c:ext>
              </c:extLst>
            </c:dLbl>
            <c:dLbl>
              <c:idx val="4"/>
              <c:layout>
                <c:manualLayout>
                  <c:x val="0.12867119288660345"/>
                  <c:y val="-3.5130611133806833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Total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G. M:  436</a:t>
                    </a:r>
                    <a:endParaRPr lang="en-US" b="1">
                      <a:solidFill>
                        <a:sysClr val="windowText" lastClr="00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F69-48D5-8006-6771E52ECCC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'Genero y Categoria'!$B$6:$B$10</c:f>
              <c:strCache>
                <c:ptCount val="5"/>
                <c:pt idx="0">
                  <c:v>DESTITUIDOS</c:v>
                </c:pt>
                <c:pt idx="1">
                  <c:v>FALTAS MUY GRAVES (91-180 DIAS)</c:v>
                </c:pt>
                <c:pt idx="2">
                  <c:v>FALTAS GRAVES (16-90 DIAS)</c:v>
                </c:pt>
                <c:pt idx="3">
                  <c:v>FALTAS GRAVES (4-5 DIAS DE ARRESTO)</c:v>
                </c:pt>
                <c:pt idx="4">
                  <c:v>TOTAL</c:v>
                </c:pt>
              </c:strCache>
            </c:strRef>
          </c:cat>
          <c:val>
            <c:numRef>
              <c:f>'Genero y Categoria'!$C$6:$C$10</c:f>
              <c:numCache>
                <c:formatCode>General</c:formatCode>
                <c:ptCount val="5"/>
                <c:pt idx="0">
                  <c:v>38</c:v>
                </c:pt>
                <c:pt idx="1">
                  <c:v>264</c:v>
                </c:pt>
                <c:pt idx="2">
                  <c:v>127</c:v>
                </c:pt>
                <c:pt idx="3">
                  <c:v>8</c:v>
                </c:pt>
                <c:pt idx="4">
                  <c:v>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69-48D5-8006-6771E52ECCC3}"/>
            </c:ext>
          </c:extLst>
        </c:ser>
        <c:ser>
          <c:idx val="1"/>
          <c:order val="1"/>
          <c:tx>
            <c:strRef>
              <c:f>'Genero y Categoria'!$D$4:$D$5</c:f>
              <c:strCache>
                <c:ptCount val="2"/>
                <c:pt idx="0">
                  <c:v>GENERO</c:v>
                </c:pt>
                <c:pt idx="1">
                  <c:v>FEMENINO</c:v>
                </c:pt>
              </c:strCache>
            </c:strRef>
          </c:tx>
          <c:cat>
            <c:strRef>
              <c:f>'Genero y Categoria'!$B$6:$B$10</c:f>
              <c:strCache>
                <c:ptCount val="5"/>
                <c:pt idx="0">
                  <c:v>DESTITUIDOS</c:v>
                </c:pt>
                <c:pt idx="1">
                  <c:v>FALTAS MUY GRAVES (91-180 DIAS)</c:v>
                </c:pt>
                <c:pt idx="2">
                  <c:v>FALTAS GRAVES (16-90 DIAS)</c:v>
                </c:pt>
                <c:pt idx="3">
                  <c:v>FALTAS GRAVES (4-5 DIAS DE ARRESTO)</c:v>
                </c:pt>
                <c:pt idx="4">
                  <c:v>TOTAL</c:v>
                </c:pt>
              </c:strCache>
            </c:strRef>
          </c:cat>
          <c:val>
            <c:numRef>
              <c:f>'Genero y Categoria'!$D$6:$D$10</c:f>
              <c:numCache>
                <c:formatCode>General</c:formatCode>
                <c:ptCount val="5"/>
                <c:pt idx="0">
                  <c:v>2</c:v>
                </c:pt>
                <c:pt idx="1">
                  <c:v>12</c:v>
                </c:pt>
                <c:pt idx="2">
                  <c:v>6</c:v>
                </c:pt>
                <c:pt idx="3">
                  <c:v>4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69-48D5-8006-6771E52ECCC3}"/>
            </c:ext>
          </c:extLst>
        </c:ser>
        <c:ser>
          <c:idx val="2"/>
          <c:order val="2"/>
          <c:tx>
            <c:strRef>
              <c:f>'Genero y Categoria'!$E$4:$E$5</c:f>
              <c:strCache>
                <c:ptCount val="2"/>
                <c:pt idx="0">
                  <c:v>GENERO</c:v>
                </c:pt>
                <c:pt idx="1">
                  <c:v>TOTAL</c:v>
                </c:pt>
              </c:strCache>
            </c:strRef>
          </c:tx>
          <c:cat>
            <c:strRef>
              <c:f>'Genero y Categoria'!$B$6:$B$10</c:f>
              <c:strCache>
                <c:ptCount val="5"/>
                <c:pt idx="0">
                  <c:v>DESTITUIDOS</c:v>
                </c:pt>
                <c:pt idx="1">
                  <c:v>FALTAS MUY GRAVES (91-180 DIAS)</c:v>
                </c:pt>
                <c:pt idx="2">
                  <c:v>FALTAS GRAVES (16-90 DIAS)</c:v>
                </c:pt>
                <c:pt idx="3">
                  <c:v>FALTAS GRAVES (4-5 DIAS DE ARRESTO)</c:v>
                </c:pt>
                <c:pt idx="4">
                  <c:v>TOTAL</c:v>
                </c:pt>
              </c:strCache>
            </c:strRef>
          </c:cat>
          <c:val>
            <c:numRef>
              <c:f>'Genero y Categoria'!$E$6:$E$10</c:f>
              <c:numCache>
                <c:formatCode>General</c:formatCode>
                <c:ptCount val="5"/>
                <c:pt idx="0">
                  <c:v>40</c:v>
                </c:pt>
                <c:pt idx="1">
                  <c:v>276</c:v>
                </c:pt>
                <c:pt idx="2">
                  <c:v>133</c:v>
                </c:pt>
                <c:pt idx="3">
                  <c:v>12</c:v>
                </c:pt>
                <c:pt idx="4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69-48D5-8006-6771E52EC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Faltas atribuidas al genero femenino </a:t>
            </a:r>
          </a:p>
          <a:p>
            <a:pPr>
              <a:defRPr/>
            </a:pPr>
            <a:r>
              <a:rPr lang="en-US"/>
              <a:t>enero-marzo-2017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'Genero y Categoria'!$C$4:$C$5</c:f>
              <c:strCache>
                <c:ptCount val="2"/>
                <c:pt idx="0">
                  <c:v>GENERO</c:v>
                </c:pt>
                <c:pt idx="1">
                  <c:v>MASCULINO</c:v>
                </c:pt>
              </c:strCache>
            </c:strRef>
          </c:tx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0AE-4EF4-B04D-BD25810E7FE8}"/>
                </c:ext>
              </c:extLst>
            </c:dLbl>
            <c:dLbl>
              <c:idx val="1"/>
              <c:layout>
                <c:manualLayout>
                  <c:x val="-8.5440495924851492E-2"/>
                  <c:y val="3.194663167104112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12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0AE-4EF4-B04D-BD25810E7FE8}"/>
                </c:ext>
              </c:extLst>
            </c:dLbl>
            <c:dLbl>
              <c:idx val="2"/>
              <c:layout>
                <c:manualLayout>
                  <c:x val="-6.4052277825461384E-2"/>
                  <c:y val="-0.19587926509186351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0AE-4EF4-B04D-BD25810E7FE8}"/>
                </c:ext>
              </c:extLst>
            </c:dLbl>
            <c:dLbl>
              <c:idx val="3"/>
              <c:layout>
                <c:manualLayout>
                  <c:x val="-4.1748769162930561E-4"/>
                  <c:y val="-0.22075277048702246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0AE-4EF4-B04D-BD25810E7FE8}"/>
                </c:ext>
              </c:extLst>
            </c:dLbl>
            <c:dLbl>
              <c:idx val="4"/>
              <c:layout>
                <c:manualLayout>
                  <c:x val="0.13614799754181062"/>
                  <c:y val="-7.4350029163021289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Total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G. F:  24</a:t>
                    </a:r>
                    <a:endParaRPr lang="en-US">
                      <a:solidFill>
                        <a:sysClr val="windowText" lastClr="00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0AE-4EF4-B04D-BD25810E7FE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'Genero y Categoria'!$B$6:$B$10</c:f>
              <c:strCache>
                <c:ptCount val="5"/>
                <c:pt idx="0">
                  <c:v>DESTITUIDOS</c:v>
                </c:pt>
                <c:pt idx="1">
                  <c:v>FALTAS MUY GRAVES (91-180 DIAS)</c:v>
                </c:pt>
                <c:pt idx="2">
                  <c:v>FALTAS GRAVES (16-90 DIAS)</c:v>
                </c:pt>
                <c:pt idx="3">
                  <c:v>FALTAS GRAVES (4-5 DIAS DE ARRESTO)</c:v>
                </c:pt>
                <c:pt idx="4">
                  <c:v>TOTAL</c:v>
                </c:pt>
              </c:strCache>
            </c:strRef>
          </c:cat>
          <c:val>
            <c:numRef>
              <c:f>'Genero y Categoria'!$C$6:$C$10</c:f>
              <c:numCache>
                <c:formatCode>General</c:formatCode>
                <c:ptCount val="5"/>
                <c:pt idx="0">
                  <c:v>38</c:v>
                </c:pt>
                <c:pt idx="1">
                  <c:v>264</c:v>
                </c:pt>
                <c:pt idx="2">
                  <c:v>127</c:v>
                </c:pt>
                <c:pt idx="3">
                  <c:v>8</c:v>
                </c:pt>
                <c:pt idx="4">
                  <c:v>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AE-4EF4-B04D-BD25810E7FE8}"/>
            </c:ext>
          </c:extLst>
        </c:ser>
        <c:ser>
          <c:idx val="1"/>
          <c:order val="1"/>
          <c:tx>
            <c:strRef>
              <c:f>'Genero y Categoria'!$D$4:$D$5</c:f>
              <c:strCache>
                <c:ptCount val="2"/>
                <c:pt idx="0">
                  <c:v>GENERO</c:v>
                </c:pt>
                <c:pt idx="1">
                  <c:v>FEMENINO</c:v>
                </c:pt>
              </c:strCache>
            </c:strRef>
          </c:tx>
          <c:cat>
            <c:strRef>
              <c:f>'Genero y Categoria'!$B$6:$B$10</c:f>
              <c:strCache>
                <c:ptCount val="5"/>
                <c:pt idx="0">
                  <c:v>DESTITUIDOS</c:v>
                </c:pt>
                <c:pt idx="1">
                  <c:v>FALTAS MUY GRAVES (91-180 DIAS)</c:v>
                </c:pt>
                <c:pt idx="2">
                  <c:v>FALTAS GRAVES (16-90 DIAS)</c:v>
                </c:pt>
                <c:pt idx="3">
                  <c:v>FALTAS GRAVES (4-5 DIAS DE ARRESTO)</c:v>
                </c:pt>
                <c:pt idx="4">
                  <c:v>TOTAL</c:v>
                </c:pt>
              </c:strCache>
            </c:strRef>
          </c:cat>
          <c:val>
            <c:numRef>
              <c:f>'Genero y Categoria'!$D$6:$D$10</c:f>
              <c:numCache>
                <c:formatCode>General</c:formatCode>
                <c:ptCount val="5"/>
                <c:pt idx="0">
                  <c:v>2</c:v>
                </c:pt>
                <c:pt idx="1">
                  <c:v>12</c:v>
                </c:pt>
                <c:pt idx="2">
                  <c:v>6</c:v>
                </c:pt>
                <c:pt idx="3">
                  <c:v>4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AE-4EF4-B04D-BD25810E7FE8}"/>
            </c:ext>
          </c:extLst>
        </c:ser>
        <c:ser>
          <c:idx val="2"/>
          <c:order val="2"/>
          <c:tx>
            <c:strRef>
              <c:f>'Genero y Categoria'!$E$4:$E$5</c:f>
              <c:strCache>
                <c:ptCount val="2"/>
                <c:pt idx="0">
                  <c:v>GENERO</c:v>
                </c:pt>
                <c:pt idx="1">
                  <c:v>TOTAL</c:v>
                </c:pt>
              </c:strCache>
            </c:strRef>
          </c:tx>
          <c:cat>
            <c:strRef>
              <c:f>'Genero y Categoria'!$B$6:$B$10</c:f>
              <c:strCache>
                <c:ptCount val="5"/>
                <c:pt idx="0">
                  <c:v>DESTITUIDOS</c:v>
                </c:pt>
                <c:pt idx="1">
                  <c:v>FALTAS MUY GRAVES (91-180 DIAS)</c:v>
                </c:pt>
                <c:pt idx="2">
                  <c:v>FALTAS GRAVES (16-90 DIAS)</c:v>
                </c:pt>
                <c:pt idx="3">
                  <c:v>FALTAS GRAVES (4-5 DIAS DE ARRESTO)</c:v>
                </c:pt>
                <c:pt idx="4">
                  <c:v>TOTAL</c:v>
                </c:pt>
              </c:strCache>
            </c:strRef>
          </c:cat>
          <c:val>
            <c:numRef>
              <c:f>'Genero y Categoria'!$E$6:$E$10</c:f>
              <c:numCache>
                <c:formatCode>General</c:formatCode>
                <c:ptCount val="5"/>
                <c:pt idx="0">
                  <c:v>40</c:v>
                </c:pt>
                <c:pt idx="1">
                  <c:v>276</c:v>
                </c:pt>
                <c:pt idx="2">
                  <c:v>133</c:v>
                </c:pt>
                <c:pt idx="3">
                  <c:v>12</c:v>
                </c:pt>
                <c:pt idx="4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AE-4EF4-B04D-BD25810E7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56</xdr:row>
      <xdr:rowOff>0</xdr:rowOff>
    </xdr:from>
    <xdr:to>
      <xdr:col>12</xdr:col>
      <xdr:colOff>95250</xdr:colOff>
      <xdr:row>56</xdr:row>
      <xdr:rowOff>0</xdr:rowOff>
    </xdr:to>
    <xdr:graphicFrame macro="">
      <xdr:nvGraphicFramePr>
        <xdr:cNvPr id="31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11</xdr:row>
      <xdr:rowOff>23812</xdr:rowOff>
    </xdr:from>
    <xdr:to>
      <xdr:col>15</xdr:col>
      <xdr:colOff>438150</xdr:colOff>
      <xdr:row>24</xdr:row>
      <xdr:rowOff>85725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25</xdr:row>
      <xdr:rowOff>52387</xdr:rowOff>
    </xdr:from>
    <xdr:to>
      <xdr:col>15</xdr:col>
      <xdr:colOff>428625</xdr:colOff>
      <xdr:row>39</xdr:row>
      <xdr:rowOff>128587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%206071\AppData\Local\Microsoft\Windows\Temporary%20Internet%20Files\Content.Outlook\9DM2VTAK\CUADRO%20ESTADIST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6">
          <cell r="C6" t="str">
            <v>INSP</v>
          </cell>
          <cell r="D6" t="str">
            <v>S.INSP.</v>
          </cell>
          <cell r="E6" t="str">
            <v>SGTO</v>
          </cell>
          <cell r="F6" t="str">
            <v>CABO</v>
          </cell>
          <cell r="G6" t="str">
            <v>AGTE</v>
          </cell>
          <cell r="H6" t="str">
            <v>SUPERN.</v>
          </cell>
          <cell r="I6" t="str">
            <v>ADMIVO.</v>
          </cell>
          <cell r="J6" t="str">
            <v xml:space="preserve">TOTAL </v>
          </cell>
        </row>
        <row r="7">
          <cell r="B7" t="str">
            <v>DESTITUIDOS</v>
          </cell>
          <cell r="E7">
            <v>7</v>
          </cell>
          <cell r="F7">
            <v>5</v>
          </cell>
          <cell r="G7">
            <v>82</v>
          </cell>
          <cell r="I7">
            <v>12</v>
          </cell>
          <cell r="J7">
            <v>106</v>
          </cell>
        </row>
        <row r="8">
          <cell r="B8" t="str">
            <v>FALTAS MUY GRAVES (91-180 DIAS)</v>
          </cell>
          <cell r="C8">
            <v>1</v>
          </cell>
          <cell r="D8">
            <v>2</v>
          </cell>
          <cell r="E8">
            <v>7</v>
          </cell>
          <cell r="F8">
            <v>15</v>
          </cell>
          <cell r="G8">
            <v>212</v>
          </cell>
          <cell r="H8">
            <v>10</v>
          </cell>
          <cell r="I8">
            <v>10</v>
          </cell>
          <cell r="J8">
            <v>257</v>
          </cell>
        </row>
        <row r="9">
          <cell r="B9" t="str">
            <v>FALTAS GRAVES (16-90 DIAS)</v>
          </cell>
          <cell r="D9">
            <v>2</v>
          </cell>
          <cell r="E9">
            <v>7</v>
          </cell>
          <cell r="F9">
            <v>5</v>
          </cell>
          <cell r="G9">
            <v>90</v>
          </cell>
          <cell r="H9">
            <v>4</v>
          </cell>
          <cell r="I9">
            <v>9</v>
          </cell>
          <cell r="J9">
            <v>117</v>
          </cell>
        </row>
        <row r="10">
          <cell r="B10" t="str">
            <v>FALTAS GRAVES (4-5 DIAS)</v>
          </cell>
          <cell r="D10">
            <v>1</v>
          </cell>
          <cell r="E10">
            <v>2</v>
          </cell>
          <cell r="F10">
            <v>9</v>
          </cell>
          <cell r="G10">
            <v>86</v>
          </cell>
          <cell r="H10">
            <v>1</v>
          </cell>
          <cell r="I10">
            <v>11</v>
          </cell>
          <cell r="J10">
            <v>110</v>
          </cell>
        </row>
        <row r="12">
          <cell r="B12" t="str">
            <v>TOTAL</v>
          </cell>
          <cell r="C12">
            <v>1</v>
          </cell>
          <cell r="D12">
            <v>5</v>
          </cell>
          <cell r="E12">
            <v>23</v>
          </cell>
          <cell r="F12">
            <v>34</v>
          </cell>
          <cell r="G12">
            <v>470</v>
          </cell>
          <cell r="H12">
            <v>15</v>
          </cell>
          <cell r="I12">
            <v>42</v>
          </cell>
          <cell r="J12">
            <v>590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7"/>
  <sheetViews>
    <sheetView tabSelected="1" workbookViewId="0">
      <selection activeCell="F40" sqref="F40"/>
    </sheetView>
  </sheetViews>
  <sheetFormatPr baseColWidth="10" defaultRowHeight="15" x14ac:dyDescent="0.25"/>
  <cols>
    <col min="1" max="1" width="3.28515625" customWidth="1"/>
    <col min="2" max="2" width="13.28515625" customWidth="1"/>
    <col min="3" max="3" width="28.85546875" customWidth="1"/>
    <col min="4" max="4" width="13.28515625" customWidth="1"/>
    <col min="5" max="5" width="11.5703125" customWidth="1"/>
    <col min="6" max="6" width="8.85546875" customWidth="1"/>
    <col min="7" max="7" width="9.28515625" customWidth="1"/>
  </cols>
  <sheetData>
    <row r="2" spans="1:11" x14ac:dyDescent="0.25">
      <c r="C2" s="151"/>
      <c r="D2" s="151"/>
      <c r="E2" s="151"/>
    </row>
    <row r="3" spans="1:11" ht="74.25" customHeight="1" thickBot="1" x14ac:dyDescent="0.3">
      <c r="B3" s="166" t="s">
        <v>204</v>
      </c>
      <c r="C3" s="166"/>
      <c r="D3" s="166"/>
      <c r="E3" s="166"/>
      <c r="J3" s="5"/>
      <c r="K3" s="5"/>
    </row>
    <row r="4" spans="1:11" ht="30.75" customHeight="1" thickBot="1" x14ac:dyDescent="0.3">
      <c r="A4" s="5"/>
      <c r="B4" s="139" t="s">
        <v>89</v>
      </c>
      <c r="C4" s="140" t="s">
        <v>90</v>
      </c>
      <c r="D4" s="141" t="s">
        <v>91</v>
      </c>
      <c r="E4" s="142" t="s">
        <v>9</v>
      </c>
      <c r="F4" s="5"/>
    </row>
    <row r="5" spans="1:11" ht="15" customHeight="1" x14ac:dyDescent="0.25">
      <c r="B5" s="155" t="s">
        <v>94</v>
      </c>
      <c r="C5" s="152" t="s">
        <v>92</v>
      </c>
      <c r="D5" s="152">
        <v>133</v>
      </c>
      <c r="E5" s="168">
        <v>145</v>
      </c>
    </row>
    <row r="6" spans="1:11" x14ac:dyDescent="0.25">
      <c r="B6" s="164"/>
      <c r="C6" s="153"/>
      <c r="D6" s="153"/>
      <c r="E6" s="169"/>
    </row>
    <row r="7" spans="1:11" ht="15" customHeight="1" x14ac:dyDescent="0.25">
      <c r="B7" s="164"/>
      <c r="C7" s="153"/>
      <c r="D7" s="167"/>
      <c r="E7" s="169"/>
      <c r="F7" s="29"/>
    </row>
    <row r="8" spans="1:11" x14ac:dyDescent="0.25">
      <c r="B8" s="164"/>
      <c r="C8" s="153"/>
      <c r="D8" s="162">
        <v>12</v>
      </c>
      <c r="E8" s="169"/>
    </row>
    <row r="9" spans="1:11" ht="17.25" customHeight="1" x14ac:dyDescent="0.25">
      <c r="B9" s="164"/>
      <c r="C9" s="153"/>
      <c r="D9" s="159"/>
      <c r="E9" s="169"/>
    </row>
    <row r="10" spans="1:11" ht="8.25" customHeight="1" thickBot="1" x14ac:dyDescent="0.3">
      <c r="B10" s="164"/>
      <c r="C10" s="153"/>
      <c r="D10" s="159"/>
      <c r="E10" s="169"/>
    </row>
    <row r="11" spans="1:11" ht="6" hidden="1" customHeight="1" thickBot="1" x14ac:dyDescent="0.3">
      <c r="B11" s="165"/>
      <c r="C11" s="154"/>
      <c r="D11" s="163"/>
      <c r="E11" s="170"/>
    </row>
    <row r="12" spans="1:11" x14ac:dyDescent="0.25">
      <c r="B12" s="155" t="s">
        <v>93</v>
      </c>
      <c r="C12" s="161" t="s">
        <v>70</v>
      </c>
      <c r="D12" s="158">
        <v>276</v>
      </c>
      <c r="E12" s="146">
        <v>316</v>
      </c>
      <c r="F12" s="5"/>
    </row>
    <row r="13" spans="1:11" ht="13.5" customHeight="1" x14ac:dyDescent="0.25">
      <c r="B13" s="156"/>
      <c r="C13" s="149"/>
      <c r="D13" s="159"/>
      <c r="E13" s="147"/>
      <c r="F13" s="5"/>
    </row>
    <row r="14" spans="1:11" x14ac:dyDescent="0.25">
      <c r="B14" s="156"/>
      <c r="C14" s="149"/>
      <c r="D14" s="159"/>
      <c r="E14" s="147"/>
    </row>
    <row r="15" spans="1:11" x14ac:dyDescent="0.25">
      <c r="A15" s="5"/>
      <c r="B15" s="156"/>
      <c r="C15" s="149"/>
      <c r="D15" s="159"/>
      <c r="E15" s="147"/>
    </row>
    <row r="16" spans="1:11" ht="6" customHeight="1" x14ac:dyDescent="0.25">
      <c r="B16" s="156"/>
      <c r="C16" s="149"/>
      <c r="D16" s="160"/>
      <c r="E16" s="147"/>
    </row>
    <row r="17" spans="2:9" ht="14.45" hidden="1" customHeight="1" x14ac:dyDescent="0.25">
      <c r="B17" s="156"/>
      <c r="C17" s="149"/>
      <c r="D17" s="103"/>
      <c r="E17" s="147"/>
    </row>
    <row r="18" spans="2:9" x14ac:dyDescent="0.25">
      <c r="B18" s="156"/>
      <c r="C18" s="149" t="s">
        <v>183</v>
      </c>
      <c r="D18" s="159">
        <v>0</v>
      </c>
      <c r="E18" s="147"/>
    </row>
    <row r="19" spans="2:9" x14ac:dyDescent="0.25">
      <c r="B19" s="156"/>
      <c r="C19" s="149"/>
      <c r="D19" s="159"/>
      <c r="E19" s="147"/>
    </row>
    <row r="20" spans="2:9" ht="10.5" customHeight="1" x14ac:dyDescent="0.25">
      <c r="B20" s="156"/>
      <c r="C20" s="149"/>
      <c r="D20" s="159"/>
      <c r="E20" s="147"/>
      <c r="I20" s="5"/>
    </row>
    <row r="21" spans="2:9" ht="6" customHeight="1" x14ac:dyDescent="0.25">
      <c r="B21" s="156"/>
      <c r="C21" s="149"/>
      <c r="D21" s="159"/>
      <c r="E21" s="147"/>
    </row>
    <row r="22" spans="2:9" ht="4.9000000000000004" hidden="1" customHeight="1" x14ac:dyDescent="0.25">
      <c r="B22" s="156"/>
      <c r="C22" s="149"/>
      <c r="D22" s="159"/>
      <c r="E22" s="147"/>
    </row>
    <row r="23" spans="2:9" ht="1.9" hidden="1" customHeight="1" x14ac:dyDescent="0.25">
      <c r="B23" s="156"/>
      <c r="C23" s="149"/>
      <c r="D23" s="159"/>
      <c r="E23" s="147"/>
    </row>
    <row r="24" spans="2:9" ht="14.45" hidden="1" customHeight="1" x14ac:dyDescent="0.25">
      <c r="B24" s="156"/>
      <c r="C24" s="149"/>
      <c r="D24" s="103"/>
      <c r="E24" s="147"/>
    </row>
    <row r="25" spans="2:9" x14ac:dyDescent="0.25">
      <c r="B25" s="156"/>
      <c r="C25" s="149" t="s">
        <v>71</v>
      </c>
      <c r="D25" s="162">
        <v>40</v>
      </c>
      <c r="E25" s="147"/>
    </row>
    <row r="26" spans="2:9" ht="11.25" customHeight="1" x14ac:dyDescent="0.25">
      <c r="B26" s="156"/>
      <c r="C26" s="149"/>
      <c r="D26" s="159"/>
      <c r="E26" s="147"/>
    </row>
    <row r="27" spans="2:9" ht="15.6" customHeight="1" x14ac:dyDescent="0.25">
      <c r="B27" s="156"/>
      <c r="C27" s="149"/>
      <c r="D27" s="159"/>
      <c r="E27" s="147"/>
    </row>
    <row r="28" spans="2:9" ht="0.6" hidden="1" customHeight="1" x14ac:dyDescent="0.25">
      <c r="B28" s="156"/>
      <c r="C28" s="149"/>
      <c r="D28" s="159"/>
      <c r="E28" s="147"/>
    </row>
    <row r="29" spans="2:9" ht="3.6" hidden="1" customHeight="1" x14ac:dyDescent="0.25">
      <c r="B29" s="156"/>
      <c r="C29" s="149"/>
      <c r="D29" s="159"/>
      <c r="E29" s="147"/>
    </row>
    <row r="30" spans="2:9" ht="6" hidden="1" customHeight="1" x14ac:dyDescent="0.25">
      <c r="B30" s="156"/>
      <c r="C30" s="149"/>
      <c r="D30" s="159"/>
      <c r="E30" s="147"/>
    </row>
    <row r="31" spans="2:9" ht="14.45" hidden="1" customHeight="1" x14ac:dyDescent="0.25">
      <c r="B31" s="156"/>
      <c r="C31" s="149"/>
      <c r="D31" s="159"/>
      <c r="E31" s="147"/>
    </row>
    <row r="32" spans="2:9" ht="5.25" customHeight="1" thickBot="1" x14ac:dyDescent="0.3">
      <c r="B32" s="157"/>
      <c r="C32" s="150"/>
      <c r="D32" s="163"/>
      <c r="E32" s="148"/>
    </row>
    <row r="33" spans="2:5" ht="20.25" customHeight="1" thickBot="1" x14ac:dyDescent="0.3">
      <c r="B33" s="143" t="s">
        <v>9</v>
      </c>
      <c r="C33" s="144"/>
      <c r="D33" s="145"/>
      <c r="E33" s="117">
        <f>E5+E12</f>
        <v>461</v>
      </c>
    </row>
    <row r="34" spans="2:5" x14ac:dyDescent="0.25">
      <c r="B34" t="s">
        <v>188</v>
      </c>
    </row>
    <row r="35" spans="2:5" x14ac:dyDescent="0.25">
      <c r="B35" t="s">
        <v>95</v>
      </c>
    </row>
    <row r="36" spans="2:5" x14ac:dyDescent="0.25">
      <c r="B36" t="s">
        <v>189</v>
      </c>
    </row>
    <row r="37" spans="2:5" x14ac:dyDescent="0.25">
      <c r="B37" s="124">
        <f ca="1">TODAY()</f>
        <v>42978</v>
      </c>
    </row>
  </sheetData>
  <mergeCells count="16">
    <mergeCell ref="B33:D33"/>
    <mergeCell ref="E12:E32"/>
    <mergeCell ref="C25:C32"/>
    <mergeCell ref="C2:E2"/>
    <mergeCell ref="C5:C11"/>
    <mergeCell ref="B12:B32"/>
    <mergeCell ref="D12:D16"/>
    <mergeCell ref="D18:D23"/>
    <mergeCell ref="C12:C17"/>
    <mergeCell ref="C18:C24"/>
    <mergeCell ref="D25:D32"/>
    <mergeCell ref="B5:B11"/>
    <mergeCell ref="B3:E3"/>
    <mergeCell ref="D5:D7"/>
    <mergeCell ref="D8:D11"/>
    <mergeCell ref="E5:E11"/>
  </mergeCells>
  <printOptions horizontalCentered="1"/>
  <pageMargins left="0.70866141732283472" right="0.70866141732283472" top="1.7322834645669292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0"/>
  <sheetViews>
    <sheetView topLeftCell="A25" zoomScale="120" zoomScaleNormal="120" workbookViewId="0">
      <selection activeCell="D44" sqref="D44"/>
    </sheetView>
  </sheetViews>
  <sheetFormatPr baseColWidth="10" defaultRowHeight="15" x14ac:dyDescent="0.25"/>
  <cols>
    <col min="1" max="1" width="3.42578125" customWidth="1"/>
    <col min="2" max="2" width="34.7109375" customWidth="1"/>
    <col min="3" max="3" width="6.140625" customWidth="1"/>
    <col min="4" max="4" width="4.140625" customWidth="1"/>
    <col min="5" max="5" width="6.140625" customWidth="1"/>
    <col min="6" max="6" width="3.5703125" customWidth="1"/>
    <col min="7" max="7" width="3.85546875" customWidth="1"/>
    <col min="8" max="8" width="4" customWidth="1"/>
    <col min="9" max="9" width="3.85546875" customWidth="1"/>
    <col min="10" max="10" width="4.42578125" customWidth="1"/>
    <col min="11" max="12" width="4" customWidth="1"/>
    <col min="13" max="13" width="5.140625" customWidth="1"/>
    <col min="14" max="14" width="3.85546875" customWidth="1"/>
    <col min="15" max="15" width="4.42578125" customWidth="1"/>
    <col min="16" max="16" width="6.42578125" customWidth="1"/>
  </cols>
  <sheetData>
    <row r="2" spans="2:22" ht="18.75" customHeight="1" x14ac:dyDescent="0.25">
      <c r="B2" s="177" t="s">
        <v>182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2:22" ht="15.75" thickBot="1" x14ac:dyDescent="0.3"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</row>
    <row r="4" spans="2:22" ht="21.75" customHeight="1" thickBot="1" x14ac:dyDescent="0.3">
      <c r="B4" s="175" t="s">
        <v>203</v>
      </c>
      <c r="C4" s="171" t="s">
        <v>51</v>
      </c>
      <c r="D4" s="172"/>
      <c r="E4" s="172"/>
      <c r="F4" s="172" t="s">
        <v>52</v>
      </c>
      <c r="G4" s="172"/>
      <c r="H4" s="172"/>
      <c r="I4" s="172"/>
      <c r="J4" s="172"/>
      <c r="K4" s="172"/>
      <c r="L4" s="172"/>
      <c r="M4" s="172"/>
      <c r="N4" s="172"/>
      <c r="O4" s="172"/>
      <c r="P4" s="173"/>
    </row>
    <row r="5" spans="2:22" ht="60.75" customHeight="1" thickBot="1" x14ac:dyDescent="0.3">
      <c r="B5" s="176"/>
      <c r="C5" s="90" t="s">
        <v>49</v>
      </c>
      <c r="D5" s="91" t="s">
        <v>50</v>
      </c>
      <c r="E5" s="75" t="s">
        <v>9</v>
      </c>
      <c r="F5" s="74" t="s">
        <v>0</v>
      </c>
      <c r="G5" s="74" t="s">
        <v>1</v>
      </c>
      <c r="H5" s="74" t="s">
        <v>2</v>
      </c>
      <c r="I5" s="74" t="s">
        <v>3</v>
      </c>
      <c r="J5" s="74" t="s">
        <v>4</v>
      </c>
      <c r="K5" s="74" t="s">
        <v>5</v>
      </c>
      <c r="L5" s="74" t="s">
        <v>6</v>
      </c>
      <c r="M5" s="74" t="s">
        <v>8</v>
      </c>
      <c r="N5" s="74" t="s">
        <v>10</v>
      </c>
      <c r="O5" s="74" t="s">
        <v>11</v>
      </c>
      <c r="P5" s="92" t="s">
        <v>48</v>
      </c>
    </row>
    <row r="6" spans="2:22" ht="18" customHeight="1" x14ac:dyDescent="0.25">
      <c r="B6" s="88" t="s">
        <v>115</v>
      </c>
      <c r="C6" s="93">
        <v>38</v>
      </c>
      <c r="D6" s="67">
        <v>2</v>
      </c>
      <c r="E6" s="136">
        <f>SUM(C6:D6)</f>
        <v>40</v>
      </c>
      <c r="F6" s="67"/>
      <c r="G6" s="67"/>
      <c r="H6" s="67"/>
      <c r="I6" s="67"/>
      <c r="J6" s="67"/>
      <c r="K6" s="67">
        <v>0</v>
      </c>
      <c r="L6" s="67">
        <v>3</v>
      </c>
      <c r="M6" s="67">
        <v>32</v>
      </c>
      <c r="N6" s="67">
        <v>2</v>
      </c>
      <c r="O6" s="67">
        <v>3</v>
      </c>
      <c r="P6" s="133">
        <f>SUM(F6:O6)</f>
        <v>40</v>
      </c>
      <c r="R6" t="s">
        <v>20</v>
      </c>
    </row>
    <row r="7" spans="2:22" ht="17.25" customHeight="1" x14ac:dyDescent="0.25">
      <c r="B7" s="78" t="s">
        <v>116</v>
      </c>
      <c r="C7" s="89">
        <v>264</v>
      </c>
      <c r="D7" s="27">
        <v>12</v>
      </c>
      <c r="E7" s="137">
        <f>SUM(C7:D7)</f>
        <v>276</v>
      </c>
      <c r="F7" s="27"/>
      <c r="G7" s="27">
        <v>0</v>
      </c>
      <c r="H7" s="27">
        <v>0</v>
      </c>
      <c r="I7" s="27">
        <v>1</v>
      </c>
      <c r="J7" s="27">
        <v>3</v>
      </c>
      <c r="K7" s="27">
        <v>10</v>
      </c>
      <c r="L7" s="27">
        <v>17</v>
      </c>
      <c r="M7" s="27">
        <v>226</v>
      </c>
      <c r="N7" s="27">
        <v>6</v>
      </c>
      <c r="O7" s="27">
        <v>13</v>
      </c>
      <c r="P7" s="134">
        <f>SUM(F7:O7)</f>
        <v>276</v>
      </c>
    </row>
    <row r="8" spans="2:22" ht="17.25" customHeight="1" x14ac:dyDescent="0.25">
      <c r="B8" s="78" t="s">
        <v>117</v>
      </c>
      <c r="C8" s="89">
        <v>127</v>
      </c>
      <c r="D8" s="27">
        <v>6</v>
      </c>
      <c r="E8" s="137">
        <f>SUM(C8:D8)</f>
        <v>133</v>
      </c>
      <c r="F8" s="27"/>
      <c r="G8" s="27"/>
      <c r="H8" s="27">
        <v>0</v>
      </c>
      <c r="I8" s="27">
        <v>0</v>
      </c>
      <c r="J8" s="27">
        <v>3</v>
      </c>
      <c r="K8" s="27">
        <v>6</v>
      </c>
      <c r="L8" s="27">
        <v>11</v>
      </c>
      <c r="M8" s="27">
        <v>100</v>
      </c>
      <c r="N8" s="27">
        <v>5</v>
      </c>
      <c r="O8" s="27">
        <v>8</v>
      </c>
      <c r="P8" s="134">
        <f>SUM(F8:O8)</f>
        <v>133</v>
      </c>
    </row>
    <row r="9" spans="2:22" ht="18.75" customHeight="1" thickBot="1" x14ac:dyDescent="0.3">
      <c r="B9" s="115" t="s">
        <v>184</v>
      </c>
      <c r="C9" s="116">
        <v>8</v>
      </c>
      <c r="D9" s="72">
        <v>4</v>
      </c>
      <c r="E9" s="138">
        <f>SUM(C9:D9)</f>
        <v>12</v>
      </c>
      <c r="F9" s="72"/>
      <c r="G9" s="72"/>
      <c r="H9" s="72"/>
      <c r="I9" s="72">
        <v>0</v>
      </c>
      <c r="J9" s="72">
        <v>1</v>
      </c>
      <c r="K9" s="72">
        <v>0</v>
      </c>
      <c r="L9" s="72">
        <v>1</v>
      </c>
      <c r="M9" s="72">
        <v>10</v>
      </c>
      <c r="N9" s="72">
        <v>0</v>
      </c>
      <c r="O9" s="72">
        <v>0</v>
      </c>
      <c r="P9" s="135">
        <f>SUM(F9:O9)</f>
        <v>12</v>
      </c>
      <c r="V9" t="s">
        <v>20</v>
      </c>
    </row>
    <row r="10" spans="2:22" ht="21" customHeight="1" thickBot="1" x14ac:dyDescent="0.3">
      <c r="B10" s="99" t="s">
        <v>9</v>
      </c>
      <c r="C10" s="100">
        <f>SUM(C6:C9)</f>
        <v>437</v>
      </c>
      <c r="D10" s="101">
        <f>SUM(D6:D9)</f>
        <v>24</v>
      </c>
      <c r="E10" s="101">
        <f>SUM(E6:E9)</f>
        <v>461</v>
      </c>
      <c r="F10" s="96"/>
      <c r="G10" s="101">
        <v>0</v>
      </c>
      <c r="H10" s="101"/>
      <c r="I10" s="101">
        <f t="shared" ref="I10:O10" si="0">SUM(I6:I9)</f>
        <v>1</v>
      </c>
      <c r="J10" s="101">
        <f t="shared" si="0"/>
        <v>7</v>
      </c>
      <c r="K10" s="101">
        <f t="shared" si="0"/>
        <v>16</v>
      </c>
      <c r="L10" s="101">
        <f t="shared" si="0"/>
        <v>32</v>
      </c>
      <c r="M10" s="101">
        <f t="shared" si="0"/>
        <v>368</v>
      </c>
      <c r="N10" s="102">
        <f t="shared" si="0"/>
        <v>13</v>
      </c>
      <c r="O10" s="102">
        <f t="shared" si="0"/>
        <v>24</v>
      </c>
      <c r="P10" s="132">
        <f>SUM(G10:O10)</f>
        <v>461</v>
      </c>
    </row>
    <row r="12" spans="2:22" x14ac:dyDescent="0.25">
      <c r="D12" t="s">
        <v>20</v>
      </c>
    </row>
    <row r="20" spans="21:21" x14ac:dyDescent="0.25">
      <c r="U20" t="s">
        <v>20</v>
      </c>
    </row>
  </sheetData>
  <mergeCells count="5">
    <mergeCell ref="C4:E4"/>
    <mergeCell ref="F4:P4"/>
    <mergeCell ref="B3:P3"/>
    <mergeCell ref="B4:B5"/>
    <mergeCell ref="B2:P2"/>
  </mergeCells>
  <printOptions horizontalCentered="1" verticalCentered="1"/>
  <pageMargins left="0.78740157480314965" right="0" top="0.74803149606299213" bottom="0.74803149606299213" header="0.31496062992125984" footer="0.31496062992125984"/>
  <pageSetup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W171"/>
  <sheetViews>
    <sheetView zoomScale="120" zoomScaleNormal="120" workbookViewId="0">
      <pane ySplit="2" topLeftCell="A44" activePane="bottomLeft" state="frozen"/>
      <selection pane="bottomLeft" activeCell="AW76" sqref="AW76"/>
    </sheetView>
  </sheetViews>
  <sheetFormatPr baseColWidth="10" defaultColWidth="11.42578125" defaultRowHeight="15" x14ac:dyDescent="0.25"/>
  <cols>
    <col min="1" max="1" width="0.7109375" customWidth="1"/>
    <col min="2" max="15" width="11.42578125" hidden="1" customWidth="1"/>
    <col min="16" max="16" width="30.28515625" customWidth="1"/>
    <col min="17" max="17" width="4" style="2" customWidth="1"/>
    <col min="18" max="18" width="3.42578125" style="2" customWidth="1"/>
    <col min="19" max="22" width="3.85546875" style="2" customWidth="1"/>
    <col min="23" max="23" width="3.7109375" style="2" customWidth="1"/>
    <col min="24" max="24" width="3.5703125" style="2" customWidth="1"/>
    <col min="25" max="25" width="4" style="2" customWidth="1"/>
    <col min="26" max="26" width="3.85546875" style="2" customWidth="1"/>
    <col min="27" max="27" width="4" style="2" customWidth="1"/>
    <col min="28" max="28" width="3.85546875" style="2" customWidth="1"/>
    <col min="29" max="29" width="5" style="2" customWidth="1"/>
    <col min="30" max="30" width="5.5703125" style="4" customWidth="1"/>
    <col min="31" max="31" width="1.28515625" customWidth="1"/>
    <col min="32" max="32" width="4.140625" style="2" customWidth="1"/>
    <col min="33" max="33" width="3.42578125" style="2" customWidth="1"/>
    <col min="34" max="34" width="4.42578125" style="3" customWidth="1"/>
    <col min="35" max="35" width="3.5703125" style="2" customWidth="1"/>
    <col min="36" max="36" width="3.42578125" style="2" customWidth="1"/>
    <col min="37" max="37" width="3.5703125" style="2" customWidth="1"/>
    <col min="38" max="39" width="3.42578125" style="2" customWidth="1"/>
    <col min="40" max="40" width="3.140625" style="2" customWidth="1"/>
    <col min="41" max="41" width="3.5703125" style="2" customWidth="1"/>
    <col min="42" max="42" width="3.42578125" style="2" customWidth="1"/>
    <col min="43" max="43" width="3.85546875" style="2" customWidth="1"/>
    <col min="44" max="45" width="3.7109375" style="2" customWidth="1"/>
    <col min="46" max="46" width="4.5703125" style="3" customWidth="1"/>
    <col min="272" max="272" width="32.140625" customWidth="1"/>
    <col min="273" max="273" width="4.85546875" customWidth="1"/>
    <col min="274" max="274" width="4.140625" customWidth="1"/>
    <col min="275" max="275" width="4.5703125" customWidth="1"/>
    <col min="276" max="276" width="3.85546875" customWidth="1"/>
    <col min="277" max="277" width="4.7109375" customWidth="1"/>
    <col min="278" max="278" width="4.42578125" customWidth="1"/>
    <col min="279" max="279" width="5" customWidth="1"/>
    <col min="280" max="280" width="4" customWidth="1"/>
    <col min="281" max="281" width="5.5703125" customWidth="1"/>
    <col min="282" max="282" width="5.7109375" customWidth="1"/>
    <col min="283" max="283" width="5.28515625" customWidth="1"/>
    <col min="284" max="284" width="6.5703125" customWidth="1"/>
    <col min="285" max="285" width="5.7109375" customWidth="1"/>
    <col min="286" max="286" width="6.140625" customWidth="1"/>
    <col min="528" max="528" width="32.140625" customWidth="1"/>
    <col min="529" max="529" width="4.85546875" customWidth="1"/>
    <col min="530" max="530" width="4.140625" customWidth="1"/>
    <col min="531" max="531" width="4.5703125" customWidth="1"/>
    <col min="532" max="532" width="3.85546875" customWidth="1"/>
    <col min="533" max="533" width="4.7109375" customWidth="1"/>
    <col min="534" max="534" width="4.42578125" customWidth="1"/>
    <col min="535" max="535" width="5" customWidth="1"/>
    <col min="536" max="536" width="4" customWidth="1"/>
    <col min="537" max="537" width="5.5703125" customWidth="1"/>
    <col min="538" max="538" width="5.7109375" customWidth="1"/>
    <col min="539" max="539" width="5.28515625" customWidth="1"/>
    <col min="540" max="540" width="6.5703125" customWidth="1"/>
    <col min="541" max="541" width="5.7109375" customWidth="1"/>
    <col min="542" max="542" width="6.140625" customWidth="1"/>
    <col min="784" max="784" width="32.140625" customWidth="1"/>
    <col min="785" max="785" width="4.85546875" customWidth="1"/>
    <col min="786" max="786" width="4.140625" customWidth="1"/>
    <col min="787" max="787" width="4.5703125" customWidth="1"/>
    <col min="788" max="788" width="3.85546875" customWidth="1"/>
    <col min="789" max="789" width="4.7109375" customWidth="1"/>
    <col min="790" max="790" width="4.42578125" customWidth="1"/>
    <col min="791" max="791" width="5" customWidth="1"/>
    <col min="792" max="792" width="4" customWidth="1"/>
    <col min="793" max="793" width="5.5703125" customWidth="1"/>
    <col min="794" max="794" width="5.7109375" customWidth="1"/>
    <col min="795" max="795" width="5.28515625" customWidth="1"/>
    <col min="796" max="796" width="6.5703125" customWidth="1"/>
    <col min="797" max="797" width="5.7109375" customWidth="1"/>
    <col min="798" max="798" width="6.140625" customWidth="1"/>
    <col min="1040" max="1040" width="32.140625" customWidth="1"/>
    <col min="1041" max="1041" width="4.85546875" customWidth="1"/>
    <col min="1042" max="1042" width="4.140625" customWidth="1"/>
    <col min="1043" max="1043" width="4.5703125" customWidth="1"/>
    <col min="1044" max="1044" width="3.85546875" customWidth="1"/>
    <col min="1045" max="1045" width="4.7109375" customWidth="1"/>
    <col min="1046" max="1046" width="4.42578125" customWidth="1"/>
    <col min="1047" max="1047" width="5" customWidth="1"/>
    <col min="1048" max="1048" width="4" customWidth="1"/>
    <col min="1049" max="1049" width="5.5703125" customWidth="1"/>
    <col min="1050" max="1050" width="5.7109375" customWidth="1"/>
    <col min="1051" max="1051" width="5.28515625" customWidth="1"/>
    <col min="1052" max="1052" width="6.5703125" customWidth="1"/>
    <col min="1053" max="1053" width="5.7109375" customWidth="1"/>
    <col min="1054" max="1054" width="6.140625" customWidth="1"/>
    <col min="1296" max="1296" width="32.140625" customWidth="1"/>
    <col min="1297" max="1297" width="4.85546875" customWidth="1"/>
    <col min="1298" max="1298" width="4.140625" customWidth="1"/>
    <col min="1299" max="1299" width="4.5703125" customWidth="1"/>
    <col min="1300" max="1300" width="3.85546875" customWidth="1"/>
    <col min="1301" max="1301" width="4.7109375" customWidth="1"/>
    <col min="1302" max="1302" width="4.42578125" customWidth="1"/>
    <col min="1303" max="1303" width="5" customWidth="1"/>
    <col min="1304" max="1304" width="4" customWidth="1"/>
    <col min="1305" max="1305" width="5.5703125" customWidth="1"/>
    <col min="1306" max="1306" width="5.7109375" customWidth="1"/>
    <col min="1307" max="1307" width="5.28515625" customWidth="1"/>
    <col min="1308" max="1308" width="6.5703125" customWidth="1"/>
    <col min="1309" max="1309" width="5.7109375" customWidth="1"/>
    <col min="1310" max="1310" width="6.140625" customWidth="1"/>
    <col min="1552" max="1552" width="32.140625" customWidth="1"/>
    <col min="1553" max="1553" width="4.85546875" customWidth="1"/>
    <col min="1554" max="1554" width="4.140625" customWidth="1"/>
    <col min="1555" max="1555" width="4.5703125" customWidth="1"/>
    <col min="1556" max="1556" width="3.85546875" customWidth="1"/>
    <col min="1557" max="1557" width="4.7109375" customWidth="1"/>
    <col min="1558" max="1558" width="4.42578125" customWidth="1"/>
    <col min="1559" max="1559" width="5" customWidth="1"/>
    <col min="1560" max="1560" width="4" customWidth="1"/>
    <col min="1561" max="1561" width="5.5703125" customWidth="1"/>
    <col min="1562" max="1562" width="5.7109375" customWidth="1"/>
    <col min="1563" max="1563" width="5.28515625" customWidth="1"/>
    <col min="1564" max="1564" width="6.5703125" customWidth="1"/>
    <col min="1565" max="1565" width="5.7109375" customWidth="1"/>
    <col min="1566" max="1566" width="6.140625" customWidth="1"/>
    <col min="1808" max="1808" width="32.140625" customWidth="1"/>
    <col min="1809" max="1809" width="4.85546875" customWidth="1"/>
    <col min="1810" max="1810" width="4.140625" customWidth="1"/>
    <col min="1811" max="1811" width="4.5703125" customWidth="1"/>
    <col min="1812" max="1812" width="3.85546875" customWidth="1"/>
    <col min="1813" max="1813" width="4.7109375" customWidth="1"/>
    <col min="1814" max="1814" width="4.42578125" customWidth="1"/>
    <col min="1815" max="1815" width="5" customWidth="1"/>
    <col min="1816" max="1816" width="4" customWidth="1"/>
    <col min="1817" max="1817" width="5.5703125" customWidth="1"/>
    <col min="1818" max="1818" width="5.7109375" customWidth="1"/>
    <col min="1819" max="1819" width="5.28515625" customWidth="1"/>
    <col min="1820" max="1820" width="6.5703125" customWidth="1"/>
    <col min="1821" max="1821" width="5.7109375" customWidth="1"/>
    <col min="1822" max="1822" width="6.140625" customWidth="1"/>
    <col min="2064" max="2064" width="32.140625" customWidth="1"/>
    <col min="2065" max="2065" width="4.85546875" customWidth="1"/>
    <col min="2066" max="2066" width="4.140625" customWidth="1"/>
    <col min="2067" max="2067" width="4.5703125" customWidth="1"/>
    <col min="2068" max="2068" width="3.85546875" customWidth="1"/>
    <col min="2069" max="2069" width="4.7109375" customWidth="1"/>
    <col min="2070" max="2070" width="4.42578125" customWidth="1"/>
    <col min="2071" max="2071" width="5" customWidth="1"/>
    <col min="2072" max="2072" width="4" customWidth="1"/>
    <col min="2073" max="2073" width="5.5703125" customWidth="1"/>
    <col min="2074" max="2074" width="5.7109375" customWidth="1"/>
    <col min="2075" max="2075" width="5.28515625" customWidth="1"/>
    <col min="2076" max="2076" width="6.5703125" customWidth="1"/>
    <col min="2077" max="2077" width="5.7109375" customWidth="1"/>
    <col min="2078" max="2078" width="6.140625" customWidth="1"/>
    <col min="2320" max="2320" width="32.140625" customWidth="1"/>
    <col min="2321" max="2321" width="4.85546875" customWidth="1"/>
    <col min="2322" max="2322" width="4.140625" customWidth="1"/>
    <col min="2323" max="2323" width="4.5703125" customWidth="1"/>
    <col min="2324" max="2324" width="3.85546875" customWidth="1"/>
    <col min="2325" max="2325" width="4.7109375" customWidth="1"/>
    <col min="2326" max="2326" width="4.42578125" customWidth="1"/>
    <col min="2327" max="2327" width="5" customWidth="1"/>
    <col min="2328" max="2328" width="4" customWidth="1"/>
    <col min="2329" max="2329" width="5.5703125" customWidth="1"/>
    <col min="2330" max="2330" width="5.7109375" customWidth="1"/>
    <col min="2331" max="2331" width="5.28515625" customWidth="1"/>
    <col min="2332" max="2332" width="6.5703125" customWidth="1"/>
    <col min="2333" max="2333" width="5.7109375" customWidth="1"/>
    <col min="2334" max="2334" width="6.140625" customWidth="1"/>
    <col min="2576" max="2576" width="32.140625" customWidth="1"/>
    <col min="2577" max="2577" width="4.85546875" customWidth="1"/>
    <col min="2578" max="2578" width="4.140625" customWidth="1"/>
    <col min="2579" max="2579" width="4.5703125" customWidth="1"/>
    <col min="2580" max="2580" width="3.85546875" customWidth="1"/>
    <col min="2581" max="2581" width="4.7109375" customWidth="1"/>
    <col min="2582" max="2582" width="4.42578125" customWidth="1"/>
    <col min="2583" max="2583" width="5" customWidth="1"/>
    <col min="2584" max="2584" width="4" customWidth="1"/>
    <col min="2585" max="2585" width="5.5703125" customWidth="1"/>
    <col min="2586" max="2586" width="5.7109375" customWidth="1"/>
    <col min="2587" max="2587" width="5.28515625" customWidth="1"/>
    <col min="2588" max="2588" width="6.5703125" customWidth="1"/>
    <col min="2589" max="2589" width="5.7109375" customWidth="1"/>
    <col min="2590" max="2590" width="6.140625" customWidth="1"/>
    <col min="2832" max="2832" width="32.140625" customWidth="1"/>
    <col min="2833" max="2833" width="4.85546875" customWidth="1"/>
    <col min="2834" max="2834" width="4.140625" customWidth="1"/>
    <col min="2835" max="2835" width="4.5703125" customWidth="1"/>
    <col min="2836" max="2836" width="3.85546875" customWidth="1"/>
    <col min="2837" max="2837" width="4.7109375" customWidth="1"/>
    <col min="2838" max="2838" width="4.42578125" customWidth="1"/>
    <col min="2839" max="2839" width="5" customWidth="1"/>
    <col min="2840" max="2840" width="4" customWidth="1"/>
    <col min="2841" max="2841" width="5.5703125" customWidth="1"/>
    <col min="2842" max="2842" width="5.7109375" customWidth="1"/>
    <col min="2843" max="2843" width="5.28515625" customWidth="1"/>
    <col min="2844" max="2844" width="6.5703125" customWidth="1"/>
    <col min="2845" max="2845" width="5.7109375" customWidth="1"/>
    <col min="2846" max="2846" width="6.140625" customWidth="1"/>
    <col min="3088" max="3088" width="32.140625" customWidth="1"/>
    <col min="3089" max="3089" width="4.85546875" customWidth="1"/>
    <col min="3090" max="3090" width="4.140625" customWidth="1"/>
    <col min="3091" max="3091" width="4.5703125" customWidth="1"/>
    <col min="3092" max="3092" width="3.85546875" customWidth="1"/>
    <col min="3093" max="3093" width="4.7109375" customWidth="1"/>
    <col min="3094" max="3094" width="4.42578125" customWidth="1"/>
    <col min="3095" max="3095" width="5" customWidth="1"/>
    <col min="3096" max="3096" width="4" customWidth="1"/>
    <col min="3097" max="3097" width="5.5703125" customWidth="1"/>
    <col min="3098" max="3098" width="5.7109375" customWidth="1"/>
    <col min="3099" max="3099" width="5.28515625" customWidth="1"/>
    <col min="3100" max="3100" width="6.5703125" customWidth="1"/>
    <col min="3101" max="3101" width="5.7109375" customWidth="1"/>
    <col min="3102" max="3102" width="6.140625" customWidth="1"/>
    <col min="3344" max="3344" width="32.140625" customWidth="1"/>
    <col min="3345" max="3345" width="4.85546875" customWidth="1"/>
    <col min="3346" max="3346" width="4.140625" customWidth="1"/>
    <col min="3347" max="3347" width="4.5703125" customWidth="1"/>
    <col min="3348" max="3348" width="3.85546875" customWidth="1"/>
    <col min="3349" max="3349" width="4.7109375" customWidth="1"/>
    <col min="3350" max="3350" width="4.42578125" customWidth="1"/>
    <col min="3351" max="3351" width="5" customWidth="1"/>
    <col min="3352" max="3352" width="4" customWidth="1"/>
    <col min="3353" max="3353" width="5.5703125" customWidth="1"/>
    <col min="3354" max="3354" width="5.7109375" customWidth="1"/>
    <col min="3355" max="3355" width="5.28515625" customWidth="1"/>
    <col min="3356" max="3356" width="6.5703125" customWidth="1"/>
    <col min="3357" max="3357" width="5.7109375" customWidth="1"/>
    <col min="3358" max="3358" width="6.140625" customWidth="1"/>
    <col min="3600" max="3600" width="32.140625" customWidth="1"/>
    <col min="3601" max="3601" width="4.85546875" customWidth="1"/>
    <col min="3602" max="3602" width="4.140625" customWidth="1"/>
    <col min="3603" max="3603" width="4.5703125" customWidth="1"/>
    <col min="3604" max="3604" width="3.85546875" customWidth="1"/>
    <col min="3605" max="3605" width="4.7109375" customWidth="1"/>
    <col min="3606" max="3606" width="4.42578125" customWidth="1"/>
    <col min="3607" max="3607" width="5" customWidth="1"/>
    <col min="3608" max="3608" width="4" customWidth="1"/>
    <col min="3609" max="3609" width="5.5703125" customWidth="1"/>
    <col min="3610" max="3610" width="5.7109375" customWidth="1"/>
    <col min="3611" max="3611" width="5.28515625" customWidth="1"/>
    <col min="3612" max="3612" width="6.5703125" customWidth="1"/>
    <col min="3613" max="3613" width="5.7109375" customWidth="1"/>
    <col min="3614" max="3614" width="6.140625" customWidth="1"/>
    <col min="3856" max="3856" width="32.140625" customWidth="1"/>
    <col min="3857" max="3857" width="4.85546875" customWidth="1"/>
    <col min="3858" max="3858" width="4.140625" customWidth="1"/>
    <col min="3859" max="3859" width="4.5703125" customWidth="1"/>
    <col min="3860" max="3860" width="3.85546875" customWidth="1"/>
    <col min="3861" max="3861" width="4.7109375" customWidth="1"/>
    <col min="3862" max="3862" width="4.42578125" customWidth="1"/>
    <col min="3863" max="3863" width="5" customWidth="1"/>
    <col min="3864" max="3864" width="4" customWidth="1"/>
    <col min="3865" max="3865" width="5.5703125" customWidth="1"/>
    <col min="3866" max="3866" width="5.7109375" customWidth="1"/>
    <col min="3867" max="3867" width="5.28515625" customWidth="1"/>
    <col min="3868" max="3868" width="6.5703125" customWidth="1"/>
    <col min="3869" max="3869" width="5.7109375" customWidth="1"/>
    <col min="3870" max="3870" width="6.140625" customWidth="1"/>
    <col min="4112" max="4112" width="32.140625" customWidth="1"/>
    <col min="4113" max="4113" width="4.85546875" customWidth="1"/>
    <col min="4114" max="4114" width="4.140625" customWidth="1"/>
    <col min="4115" max="4115" width="4.5703125" customWidth="1"/>
    <col min="4116" max="4116" width="3.85546875" customWidth="1"/>
    <col min="4117" max="4117" width="4.7109375" customWidth="1"/>
    <col min="4118" max="4118" width="4.42578125" customWidth="1"/>
    <col min="4119" max="4119" width="5" customWidth="1"/>
    <col min="4120" max="4120" width="4" customWidth="1"/>
    <col min="4121" max="4121" width="5.5703125" customWidth="1"/>
    <col min="4122" max="4122" width="5.7109375" customWidth="1"/>
    <col min="4123" max="4123" width="5.28515625" customWidth="1"/>
    <col min="4124" max="4124" width="6.5703125" customWidth="1"/>
    <col min="4125" max="4125" width="5.7109375" customWidth="1"/>
    <col min="4126" max="4126" width="6.140625" customWidth="1"/>
    <col min="4368" max="4368" width="32.140625" customWidth="1"/>
    <col min="4369" max="4369" width="4.85546875" customWidth="1"/>
    <col min="4370" max="4370" width="4.140625" customWidth="1"/>
    <col min="4371" max="4371" width="4.5703125" customWidth="1"/>
    <col min="4372" max="4372" width="3.85546875" customWidth="1"/>
    <col min="4373" max="4373" width="4.7109375" customWidth="1"/>
    <col min="4374" max="4374" width="4.42578125" customWidth="1"/>
    <col min="4375" max="4375" width="5" customWidth="1"/>
    <col min="4376" max="4376" width="4" customWidth="1"/>
    <col min="4377" max="4377" width="5.5703125" customWidth="1"/>
    <col min="4378" max="4378" width="5.7109375" customWidth="1"/>
    <col min="4379" max="4379" width="5.28515625" customWidth="1"/>
    <col min="4380" max="4380" width="6.5703125" customWidth="1"/>
    <col min="4381" max="4381" width="5.7109375" customWidth="1"/>
    <col min="4382" max="4382" width="6.140625" customWidth="1"/>
    <col min="4624" max="4624" width="32.140625" customWidth="1"/>
    <col min="4625" max="4625" width="4.85546875" customWidth="1"/>
    <col min="4626" max="4626" width="4.140625" customWidth="1"/>
    <col min="4627" max="4627" width="4.5703125" customWidth="1"/>
    <col min="4628" max="4628" width="3.85546875" customWidth="1"/>
    <col min="4629" max="4629" width="4.7109375" customWidth="1"/>
    <col min="4630" max="4630" width="4.42578125" customWidth="1"/>
    <col min="4631" max="4631" width="5" customWidth="1"/>
    <col min="4632" max="4632" width="4" customWidth="1"/>
    <col min="4633" max="4633" width="5.5703125" customWidth="1"/>
    <col min="4634" max="4634" width="5.7109375" customWidth="1"/>
    <col min="4635" max="4635" width="5.28515625" customWidth="1"/>
    <col min="4636" max="4636" width="6.5703125" customWidth="1"/>
    <col min="4637" max="4637" width="5.7109375" customWidth="1"/>
    <col min="4638" max="4638" width="6.140625" customWidth="1"/>
    <col min="4880" max="4880" width="32.140625" customWidth="1"/>
    <col min="4881" max="4881" width="4.85546875" customWidth="1"/>
    <col min="4882" max="4882" width="4.140625" customWidth="1"/>
    <col min="4883" max="4883" width="4.5703125" customWidth="1"/>
    <col min="4884" max="4884" width="3.85546875" customWidth="1"/>
    <col min="4885" max="4885" width="4.7109375" customWidth="1"/>
    <col min="4886" max="4886" width="4.42578125" customWidth="1"/>
    <col min="4887" max="4887" width="5" customWidth="1"/>
    <col min="4888" max="4888" width="4" customWidth="1"/>
    <col min="4889" max="4889" width="5.5703125" customWidth="1"/>
    <col min="4890" max="4890" width="5.7109375" customWidth="1"/>
    <col min="4891" max="4891" width="5.28515625" customWidth="1"/>
    <col min="4892" max="4892" width="6.5703125" customWidth="1"/>
    <col min="4893" max="4893" width="5.7109375" customWidth="1"/>
    <col min="4894" max="4894" width="6.140625" customWidth="1"/>
    <col min="5136" max="5136" width="32.140625" customWidth="1"/>
    <col min="5137" max="5137" width="4.85546875" customWidth="1"/>
    <col min="5138" max="5138" width="4.140625" customWidth="1"/>
    <col min="5139" max="5139" width="4.5703125" customWidth="1"/>
    <col min="5140" max="5140" width="3.85546875" customWidth="1"/>
    <col min="5141" max="5141" width="4.7109375" customWidth="1"/>
    <col min="5142" max="5142" width="4.42578125" customWidth="1"/>
    <col min="5143" max="5143" width="5" customWidth="1"/>
    <col min="5144" max="5144" width="4" customWidth="1"/>
    <col min="5145" max="5145" width="5.5703125" customWidth="1"/>
    <col min="5146" max="5146" width="5.7109375" customWidth="1"/>
    <col min="5147" max="5147" width="5.28515625" customWidth="1"/>
    <col min="5148" max="5148" width="6.5703125" customWidth="1"/>
    <col min="5149" max="5149" width="5.7109375" customWidth="1"/>
    <col min="5150" max="5150" width="6.140625" customWidth="1"/>
    <col min="5392" max="5392" width="32.140625" customWidth="1"/>
    <col min="5393" max="5393" width="4.85546875" customWidth="1"/>
    <col min="5394" max="5394" width="4.140625" customWidth="1"/>
    <col min="5395" max="5395" width="4.5703125" customWidth="1"/>
    <col min="5396" max="5396" width="3.85546875" customWidth="1"/>
    <col min="5397" max="5397" width="4.7109375" customWidth="1"/>
    <col min="5398" max="5398" width="4.42578125" customWidth="1"/>
    <col min="5399" max="5399" width="5" customWidth="1"/>
    <col min="5400" max="5400" width="4" customWidth="1"/>
    <col min="5401" max="5401" width="5.5703125" customWidth="1"/>
    <col min="5402" max="5402" width="5.7109375" customWidth="1"/>
    <col min="5403" max="5403" width="5.28515625" customWidth="1"/>
    <col min="5404" max="5404" width="6.5703125" customWidth="1"/>
    <col min="5405" max="5405" width="5.7109375" customWidth="1"/>
    <col min="5406" max="5406" width="6.140625" customWidth="1"/>
    <col min="5648" max="5648" width="32.140625" customWidth="1"/>
    <col min="5649" max="5649" width="4.85546875" customWidth="1"/>
    <col min="5650" max="5650" width="4.140625" customWidth="1"/>
    <col min="5651" max="5651" width="4.5703125" customWidth="1"/>
    <col min="5652" max="5652" width="3.85546875" customWidth="1"/>
    <col min="5653" max="5653" width="4.7109375" customWidth="1"/>
    <col min="5654" max="5654" width="4.42578125" customWidth="1"/>
    <col min="5655" max="5655" width="5" customWidth="1"/>
    <col min="5656" max="5656" width="4" customWidth="1"/>
    <col min="5657" max="5657" width="5.5703125" customWidth="1"/>
    <col min="5658" max="5658" width="5.7109375" customWidth="1"/>
    <col min="5659" max="5659" width="5.28515625" customWidth="1"/>
    <col min="5660" max="5660" width="6.5703125" customWidth="1"/>
    <col min="5661" max="5661" width="5.7109375" customWidth="1"/>
    <col min="5662" max="5662" width="6.140625" customWidth="1"/>
    <col min="5904" max="5904" width="32.140625" customWidth="1"/>
    <col min="5905" max="5905" width="4.85546875" customWidth="1"/>
    <col min="5906" max="5906" width="4.140625" customWidth="1"/>
    <col min="5907" max="5907" width="4.5703125" customWidth="1"/>
    <col min="5908" max="5908" width="3.85546875" customWidth="1"/>
    <col min="5909" max="5909" width="4.7109375" customWidth="1"/>
    <col min="5910" max="5910" width="4.42578125" customWidth="1"/>
    <col min="5911" max="5911" width="5" customWidth="1"/>
    <col min="5912" max="5912" width="4" customWidth="1"/>
    <col min="5913" max="5913" width="5.5703125" customWidth="1"/>
    <col min="5914" max="5914" width="5.7109375" customWidth="1"/>
    <col min="5915" max="5915" width="5.28515625" customWidth="1"/>
    <col min="5916" max="5916" width="6.5703125" customWidth="1"/>
    <col min="5917" max="5917" width="5.7109375" customWidth="1"/>
    <col min="5918" max="5918" width="6.140625" customWidth="1"/>
    <col min="6160" max="6160" width="32.140625" customWidth="1"/>
    <col min="6161" max="6161" width="4.85546875" customWidth="1"/>
    <col min="6162" max="6162" width="4.140625" customWidth="1"/>
    <col min="6163" max="6163" width="4.5703125" customWidth="1"/>
    <col min="6164" max="6164" width="3.85546875" customWidth="1"/>
    <col min="6165" max="6165" width="4.7109375" customWidth="1"/>
    <col min="6166" max="6166" width="4.42578125" customWidth="1"/>
    <col min="6167" max="6167" width="5" customWidth="1"/>
    <col min="6168" max="6168" width="4" customWidth="1"/>
    <col min="6169" max="6169" width="5.5703125" customWidth="1"/>
    <col min="6170" max="6170" width="5.7109375" customWidth="1"/>
    <col min="6171" max="6171" width="5.28515625" customWidth="1"/>
    <col min="6172" max="6172" width="6.5703125" customWidth="1"/>
    <col min="6173" max="6173" width="5.7109375" customWidth="1"/>
    <col min="6174" max="6174" width="6.140625" customWidth="1"/>
    <col min="6416" max="6416" width="32.140625" customWidth="1"/>
    <col min="6417" max="6417" width="4.85546875" customWidth="1"/>
    <col min="6418" max="6418" width="4.140625" customWidth="1"/>
    <col min="6419" max="6419" width="4.5703125" customWidth="1"/>
    <col min="6420" max="6420" width="3.85546875" customWidth="1"/>
    <col min="6421" max="6421" width="4.7109375" customWidth="1"/>
    <col min="6422" max="6422" width="4.42578125" customWidth="1"/>
    <col min="6423" max="6423" width="5" customWidth="1"/>
    <col min="6424" max="6424" width="4" customWidth="1"/>
    <col min="6425" max="6425" width="5.5703125" customWidth="1"/>
    <col min="6426" max="6426" width="5.7109375" customWidth="1"/>
    <col min="6427" max="6427" width="5.28515625" customWidth="1"/>
    <col min="6428" max="6428" width="6.5703125" customWidth="1"/>
    <col min="6429" max="6429" width="5.7109375" customWidth="1"/>
    <col min="6430" max="6430" width="6.140625" customWidth="1"/>
    <col min="6672" max="6672" width="32.140625" customWidth="1"/>
    <col min="6673" max="6673" width="4.85546875" customWidth="1"/>
    <col min="6674" max="6674" width="4.140625" customWidth="1"/>
    <col min="6675" max="6675" width="4.5703125" customWidth="1"/>
    <col min="6676" max="6676" width="3.85546875" customWidth="1"/>
    <col min="6677" max="6677" width="4.7109375" customWidth="1"/>
    <col min="6678" max="6678" width="4.42578125" customWidth="1"/>
    <col min="6679" max="6679" width="5" customWidth="1"/>
    <col min="6680" max="6680" width="4" customWidth="1"/>
    <col min="6681" max="6681" width="5.5703125" customWidth="1"/>
    <col min="6682" max="6682" width="5.7109375" customWidth="1"/>
    <col min="6683" max="6683" width="5.28515625" customWidth="1"/>
    <col min="6684" max="6684" width="6.5703125" customWidth="1"/>
    <col min="6685" max="6685" width="5.7109375" customWidth="1"/>
    <col min="6686" max="6686" width="6.140625" customWidth="1"/>
    <col min="6928" max="6928" width="32.140625" customWidth="1"/>
    <col min="6929" max="6929" width="4.85546875" customWidth="1"/>
    <col min="6930" max="6930" width="4.140625" customWidth="1"/>
    <col min="6931" max="6931" width="4.5703125" customWidth="1"/>
    <col min="6932" max="6932" width="3.85546875" customWidth="1"/>
    <col min="6933" max="6933" width="4.7109375" customWidth="1"/>
    <col min="6934" max="6934" width="4.42578125" customWidth="1"/>
    <col min="6935" max="6935" width="5" customWidth="1"/>
    <col min="6936" max="6936" width="4" customWidth="1"/>
    <col min="6937" max="6937" width="5.5703125" customWidth="1"/>
    <col min="6938" max="6938" width="5.7109375" customWidth="1"/>
    <col min="6939" max="6939" width="5.28515625" customWidth="1"/>
    <col min="6940" max="6940" width="6.5703125" customWidth="1"/>
    <col min="6941" max="6941" width="5.7109375" customWidth="1"/>
    <col min="6942" max="6942" width="6.140625" customWidth="1"/>
    <col min="7184" max="7184" width="32.140625" customWidth="1"/>
    <col min="7185" max="7185" width="4.85546875" customWidth="1"/>
    <col min="7186" max="7186" width="4.140625" customWidth="1"/>
    <col min="7187" max="7187" width="4.5703125" customWidth="1"/>
    <col min="7188" max="7188" width="3.85546875" customWidth="1"/>
    <col min="7189" max="7189" width="4.7109375" customWidth="1"/>
    <col min="7190" max="7190" width="4.42578125" customWidth="1"/>
    <col min="7191" max="7191" width="5" customWidth="1"/>
    <col min="7192" max="7192" width="4" customWidth="1"/>
    <col min="7193" max="7193" width="5.5703125" customWidth="1"/>
    <col min="7194" max="7194" width="5.7109375" customWidth="1"/>
    <col min="7195" max="7195" width="5.28515625" customWidth="1"/>
    <col min="7196" max="7196" width="6.5703125" customWidth="1"/>
    <col min="7197" max="7197" width="5.7109375" customWidth="1"/>
    <col min="7198" max="7198" width="6.140625" customWidth="1"/>
    <col min="7440" max="7440" width="32.140625" customWidth="1"/>
    <col min="7441" max="7441" width="4.85546875" customWidth="1"/>
    <col min="7442" max="7442" width="4.140625" customWidth="1"/>
    <col min="7443" max="7443" width="4.5703125" customWidth="1"/>
    <col min="7444" max="7444" width="3.85546875" customWidth="1"/>
    <col min="7445" max="7445" width="4.7109375" customWidth="1"/>
    <col min="7446" max="7446" width="4.42578125" customWidth="1"/>
    <col min="7447" max="7447" width="5" customWidth="1"/>
    <col min="7448" max="7448" width="4" customWidth="1"/>
    <col min="7449" max="7449" width="5.5703125" customWidth="1"/>
    <col min="7450" max="7450" width="5.7109375" customWidth="1"/>
    <col min="7451" max="7451" width="5.28515625" customWidth="1"/>
    <col min="7452" max="7452" width="6.5703125" customWidth="1"/>
    <col min="7453" max="7453" width="5.7109375" customWidth="1"/>
    <col min="7454" max="7454" width="6.140625" customWidth="1"/>
    <col min="7696" max="7696" width="32.140625" customWidth="1"/>
    <col min="7697" max="7697" width="4.85546875" customWidth="1"/>
    <col min="7698" max="7698" width="4.140625" customWidth="1"/>
    <col min="7699" max="7699" width="4.5703125" customWidth="1"/>
    <col min="7700" max="7700" width="3.85546875" customWidth="1"/>
    <col min="7701" max="7701" width="4.7109375" customWidth="1"/>
    <col min="7702" max="7702" width="4.42578125" customWidth="1"/>
    <col min="7703" max="7703" width="5" customWidth="1"/>
    <col min="7704" max="7704" width="4" customWidth="1"/>
    <col min="7705" max="7705" width="5.5703125" customWidth="1"/>
    <col min="7706" max="7706" width="5.7109375" customWidth="1"/>
    <col min="7707" max="7707" width="5.28515625" customWidth="1"/>
    <col min="7708" max="7708" width="6.5703125" customWidth="1"/>
    <col min="7709" max="7709" width="5.7109375" customWidth="1"/>
    <col min="7710" max="7710" width="6.140625" customWidth="1"/>
    <col min="7952" max="7952" width="32.140625" customWidth="1"/>
    <col min="7953" max="7953" width="4.85546875" customWidth="1"/>
    <col min="7954" max="7954" width="4.140625" customWidth="1"/>
    <col min="7955" max="7955" width="4.5703125" customWidth="1"/>
    <col min="7956" max="7956" width="3.85546875" customWidth="1"/>
    <col min="7957" max="7957" width="4.7109375" customWidth="1"/>
    <col min="7958" max="7958" width="4.42578125" customWidth="1"/>
    <col min="7959" max="7959" width="5" customWidth="1"/>
    <col min="7960" max="7960" width="4" customWidth="1"/>
    <col min="7961" max="7961" width="5.5703125" customWidth="1"/>
    <col min="7962" max="7962" width="5.7109375" customWidth="1"/>
    <col min="7963" max="7963" width="5.28515625" customWidth="1"/>
    <col min="7964" max="7964" width="6.5703125" customWidth="1"/>
    <col min="7965" max="7965" width="5.7109375" customWidth="1"/>
    <col min="7966" max="7966" width="6.140625" customWidth="1"/>
    <col min="8208" max="8208" width="32.140625" customWidth="1"/>
    <col min="8209" max="8209" width="4.85546875" customWidth="1"/>
    <col min="8210" max="8210" width="4.140625" customWidth="1"/>
    <col min="8211" max="8211" width="4.5703125" customWidth="1"/>
    <col min="8212" max="8212" width="3.85546875" customWidth="1"/>
    <col min="8213" max="8213" width="4.7109375" customWidth="1"/>
    <col min="8214" max="8214" width="4.42578125" customWidth="1"/>
    <col min="8215" max="8215" width="5" customWidth="1"/>
    <col min="8216" max="8216" width="4" customWidth="1"/>
    <col min="8217" max="8217" width="5.5703125" customWidth="1"/>
    <col min="8218" max="8218" width="5.7109375" customWidth="1"/>
    <col min="8219" max="8219" width="5.28515625" customWidth="1"/>
    <col min="8220" max="8220" width="6.5703125" customWidth="1"/>
    <col min="8221" max="8221" width="5.7109375" customWidth="1"/>
    <col min="8222" max="8222" width="6.140625" customWidth="1"/>
    <col min="8464" max="8464" width="32.140625" customWidth="1"/>
    <col min="8465" max="8465" width="4.85546875" customWidth="1"/>
    <col min="8466" max="8466" width="4.140625" customWidth="1"/>
    <col min="8467" max="8467" width="4.5703125" customWidth="1"/>
    <col min="8468" max="8468" width="3.85546875" customWidth="1"/>
    <col min="8469" max="8469" width="4.7109375" customWidth="1"/>
    <col min="8470" max="8470" width="4.42578125" customWidth="1"/>
    <col min="8471" max="8471" width="5" customWidth="1"/>
    <col min="8472" max="8472" width="4" customWidth="1"/>
    <col min="8473" max="8473" width="5.5703125" customWidth="1"/>
    <col min="8474" max="8474" width="5.7109375" customWidth="1"/>
    <col min="8475" max="8475" width="5.28515625" customWidth="1"/>
    <col min="8476" max="8476" width="6.5703125" customWidth="1"/>
    <col min="8477" max="8477" width="5.7109375" customWidth="1"/>
    <col min="8478" max="8478" width="6.140625" customWidth="1"/>
    <col min="8720" max="8720" width="32.140625" customWidth="1"/>
    <col min="8721" max="8721" width="4.85546875" customWidth="1"/>
    <col min="8722" max="8722" width="4.140625" customWidth="1"/>
    <col min="8723" max="8723" width="4.5703125" customWidth="1"/>
    <col min="8724" max="8724" width="3.85546875" customWidth="1"/>
    <col min="8725" max="8725" width="4.7109375" customWidth="1"/>
    <col min="8726" max="8726" width="4.42578125" customWidth="1"/>
    <col min="8727" max="8727" width="5" customWidth="1"/>
    <col min="8728" max="8728" width="4" customWidth="1"/>
    <col min="8729" max="8729" width="5.5703125" customWidth="1"/>
    <col min="8730" max="8730" width="5.7109375" customWidth="1"/>
    <col min="8731" max="8731" width="5.28515625" customWidth="1"/>
    <col min="8732" max="8732" width="6.5703125" customWidth="1"/>
    <col min="8733" max="8733" width="5.7109375" customWidth="1"/>
    <col min="8734" max="8734" width="6.140625" customWidth="1"/>
    <col min="8976" max="8976" width="32.140625" customWidth="1"/>
    <col min="8977" max="8977" width="4.85546875" customWidth="1"/>
    <col min="8978" max="8978" width="4.140625" customWidth="1"/>
    <col min="8979" max="8979" width="4.5703125" customWidth="1"/>
    <col min="8980" max="8980" width="3.85546875" customWidth="1"/>
    <col min="8981" max="8981" width="4.7109375" customWidth="1"/>
    <col min="8982" max="8982" width="4.42578125" customWidth="1"/>
    <col min="8983" max="8983" width="5" customWidth="1"/>
    <col min="8984" max="8984" width="4" customWidth="1"/>
    <col min="8985" max="8985" width="5.5703125" customWidth="1"/>
    <col min="8986" max="8986" width="5.7109375" customWidth="1"/>
    <col min="8987" max="8987" width="5.28515625" customWidth="1"/>
    <col min="8988" max="8988" width="6.5703125" customWidth="1"/>
    <col min="8989" max="8989" width="5.7109375" customWidth="1"/>
    <col min="8990" max="8990" width="6.140625" customWidth="1"/>
    <col min="9232" max="9232" width="32.140625" customWidth="1"/>
    <col min="9233" max="9233" width="4.85546875" customWidth="1"/>
    <col min="9234" max="9234" width="4.140625" customWidth="1"/>
    <col min="9235" max="9235" width="4.5703125" customWidth="1"/>
    <col min="9236" max="9236" width="3.85546875" customWidth="1"/>
    <col min="9237" max="9237" width="4.7109375" customWidth="1"/>
    <col min="9238" max="9238" width="4.42578125" customWidth="1"/>
    <col min="9239" max="9239" width="5" customWidth="1"/>
    <col min="9240" max="9240" width="4" customWidth="1"/>
    <col min="9241" max="9241" width="5.5703125" customWidth="1"/>
    <col min="9242" max="9242" width="5.7109375" customWidth="1"/>
    <col min="9243" max="9243" width="5.28515625" customWidth="1"/>
    <col min="9244" max="9244" width="6.5703125" customWidth="1"/>
    <col min="9245" max="9245" width="5.7109375" customWidth="1"/>
    <col min="9246" max="9246" width="6.140625" customWidth="1"/>
    <col min="9488" max="9488" width="32.140625" customWidth="1"/>
    <col min="9489" max="9489" width="4.85546875" customWidth="1"/>
    <col min="9490" max="9490" width="4.140625" customWidth="1"/>
    <col min="9491" max="9491" width="4.5703125" customWidth="1"/>
    <col min="9492" max="9492" width="3.85546875" customWidth="1"/>
    <col min="9493" max="9493" width="4.7109375" customWidth="1"/>
    <col min="9494" max="9494" width="4.42578125" customWidth="1"/>
    <col min="9495" max="9495" width="5" customWidth="1"/>
    <col min="9496" max="9496" width="4" customWidth="1"/>
    <col min="9497" max="9497" width="5.5703125" customWidth="1"/>
    <col min="9498" max="9498" width="5.7109375" customWidth="1"/>
    <col min="9499" max="9499" width="5.28515625" customWidth="1"/>
    <col min="9500" max="9500" width="6.5703125" customWidth="1"/>
    <col min="9501" max="9501" width="5.7109375" customWidth="1"/>
    <col min="9502" max="9502" width="6.140625" customWidth="1"/>
    <col min="9744" max="9744" width="32.140625" customWidth="1"/>
    <col min="9745" max="9745" width="4.85546875" customWidth="1"/>
    <col min="9746" max="9746" width="4.140625" customWidth="1"/>
    <col min="9747" max="9747" width="4.5703125" customWidth="1"/>
    <col min="9748" max="9748" width="3.85546875" customWidth="1"/>
    <col min="9749" max="9749" width="4.7109375" customWidth="1"/>
    <col min="9750" max="9750" width="4.42578125" customWidth="1"/>
    <col min="9751" max="9751" width="5" customWidth="1"/>
    <col min="9752" max="9752" width="4" customWidth="1"/>
    <col min="9753" max="9753" width="5.5703125" customWidth="1"/>
    <col min="9754" max="9754" width="5.7109375" customWidth="1"/>
    <col min="9755" max="9755" width="5.28515625" customWidth="1"/>
    <col min="9756" max="9756" width="6.5703125" customWidth="1"/>
    <col min="9757" max="9757" width="5.7109375" customWidth="1"/>
    <col min="9758" max="9758" width="6.140625" customWidth="1"/>
    <col min="10000" max="10000" width="32.140625" customWidth="1"/>
    <col min="10001" max="10001" width="4.85546875" customWidth="1"/>
    <col min="10002" max="10002" width="4.140625" customWidth="1"/>
    <col min="10003" max="10003" width="4.5703125" customWidth="1"/>
    <col min="10004" max="10004" width="3.85546875" customWidth="1"/>
    <col min="10005" max="10005" width="4.7109375" customWidth="1"/>
    <col min="10006" max="10006" width="4.42578125" customWidth="1"/>
    <col min="10007" max="10007" width="5" customWidth="1"/>
    <col min="10008" max="10008" width="4" customWidth="1"/>
    <col min="10009" max="10009" width="5.5703125" customWidth="1"/>
    <col min="10010" max="10010" width="5.7109375" customWidth="1"/>
    <col min="10011" max="10011" width="5.28515625" customWidth="1"/>
    <col min="10012" max="10012" width="6.5703125" customWidth="1"/>
    <col min="10013" max="10013" width="5.7109375" customWidth="1"/>
    <col min="10014" max="10014" width="6.140625" customWidth="1"/>
    <col min="10256" max="10256" width="32.140625" customWidth="1"/>
    <col min="10257" max="10257" width="4.85546875" customWidth="1"/>
    <col min="10258" max="10258" width="4.140625" customWidth="1"/>
    <col min="10259" max="10259" width="4.5703125" customWidth="1"/>
    <col min="10260" max="10260" width="3.85546875" customWidth="1"/>
    <col min="10261" max="10261" width="4.7109375" customWidth="1"/>
    <col min="10262" max="10262" width="4.42578125" customWidth="1"/>
    <col min="10263" max="10263" width="5" customWidth="1"/>
    <col min="10264" max="10264" width="4" customWidth="1"/>
    <col min="10265" max="10265" width="5.5703125" customWidth="1"/>
    <col min="10266" max="10266" width="5.7109375" customWidth="1"/>
    <col min="10267" max="10267" width="5.28515625" customWidth="1"/>
    <col min="10268" max="10268" width="6.5703125" customWidth="1"/>
    <col min="10269" max="10269" width="5.7109375" customWidth="1"/>
    <col min="10270" max="10270" width="6.140625" customWidth="1"/>
    <col min="10512" max="10512" width="32.140625" customWidth="1"/>
    <col min="10513" max="10513" width="4.85546875" customWidth="1"/>
    <col min="10514" max="10514" width="4.140625" customWidth="1"/>
    <col min="10515" max="10515" width="4.5703125" customWidth="1"/>
    <col min="10516" max="10516" width="3.85546875" customWidth="1"/>
    <col min="10517" max="10517" width="4.7109375" customWidth="1"/>
    <col min="10518" max="10518" width="4.42578125" customWidth="1"/>
    <col min="10519" max="10519" width="5" customWidth="1"/>
    <col min="10520" max="10520" width="4" customWidth="1"/>
    <col min="10521" max="10521" width="5.5703125" customWidth="1"/>
    <col min="10522" max="10522" width="5.7109375" customWidth="1"/>
    <col min="10523" max="10523" width="5.28515625" customWidth="1"/>
    <col min="10524" max="10524" width="6.5703125" customWidth="1"/>
    <col min="10525" max="10525" width="5.7109375" customWidth="1"/>
    <col min="10526" max="10526" width="6.140625" customWidth="1"/>
    <col min="10768" max="10768" width="32.140625" customWidth="1"/>
    <col min="10769" max="10769" width="4.85546875" customWidth="1"/>
    <col min="10770" max="10770" width="4.140625" customWidth="1"/>
    <col min="10771" max="10771" width="4.5703125" customWidth="1"/>
    <col min="10772" max="10772" width="3.85546875" customWidth="1"/>
    <col min="10773" max="10773" width="4.7109375" customWidth="1"/>
    <col min="10774" max="10774" width="4.42578125" customWidth="1"/>
    <col min="10775" max="10775" width="5" customWidth="1"/>
    <col min="10776" max="10776" width="4" customWidth="1"/>
    <col min="10777" max="10777" width="5.5703125" customWidth="1"/>
    <col min="10778" max="10778" width="5.7109375" customWidth="1"/>
    <col min="10779" max="10779" width="5.28515625" customWidth="1"/>
    <col min="10780" max="10780" width="6.5703125" customWidth="1"/>
    <col min="10781" max="10781" width="5.7109375" customWidth="1"/>
    <col min="10782" max="10782" width="6.140625" customWidth="1"/>
    <col min="11024" max="11024" width="32.140625" customWidth="1"/>
    <col min="11025" max="11025" width="4.85546875" customWidth="1"/>
    <col min="11026" max="11026" width="4.140625" customWidth="1"/>
    <col min="11027" max="11027" width="4.5703125" customWidth="1"/>
    <col min="11028" max="11028" width="3.85546875" customWidth="1"/>
    <col min="11029" max="11029" width="4.7109375" customWidth="1"/>
    <col min="11030" max="11030" width="4.42578125" customWidth="1"/>
    <col min="11031" max="11031" width="5" customWidth="1"/>
    <col min="11032" max="11032" width="4" customWidth="1"/>
    <col min="11033" max="11033" width="5.5703125" customWidth="1"/>
    <col min="11034" max="11034" width="5.7109375" customWidth="1"/>
    <col min="11035" max="11035" width="5.28515625" customWidth="1"/>
    <col min="11036" max="11036" width="6.5703125" customWidth="1"/>
    <col min="11037" max="11037" width="5.7109375" customWidth="1"/>
    <col min="11038" max="11038" width="6.140625" customWidth="1"/>
    <col min="11280" max="11280" width="32.140625" customWidth="1"/>
    <col min="11281" max="11281" width="4.85546875" customWidth="1"/>
    <col min="11282" max="11282" width="4.140625" customWidth="1"/>
    <col min="11283" max="11283" width="4.5703125" customWidth="1"/>
    <col min="11284" max="11284" width="3.85546875" customWidth="1"/>
    <col min="11285" max="11285" width="4.7109375" customWidth="1"/>
    <col min="11286" max="11286" width="4.42578125" customWidth="1"/>
    <col min="11287" max="11287" width="5" customWidth="1"/>
    <col min="11288" max="11288" width="4" customWidth="1"/>
    <col min="11289" max="11289" width="5.5703125" customWidth="1"/>
    <col min="11290" max="11290" width="5.7109375" customWidth="1"/>
    <col min="11291" max="11291" width="5.28515625" customWidth="1"/>
    <col min="11292" max="11292" width="6.5703125" customWidth="1"/>
    <col min="11293" max="11293" width="5.7109375" customWidth="1"/>
    <col min="11294" max="11294" width="6.140625" customWidth="1"/>
    <col min="11536" max="11536" width="32.140625" customWidth="1"/>
    <col min="11537" max="11537" width="4.85546875" customWidth="1"/>
    <col min="11538" max="11538" width="4.140625" customWidth="1"/>
    <col min="11539" max="11539" width="4.5703125" customWidth="1"/>
    <col min="11540" max="11540" width="3.85546875" customWidth="1"/>
    <col min="11541" max="11541" width="4.7109375" customWidth="1"/>
    <col min="11542" max="11542" width="4.42578125" customWidth="1"/>
    <col min="11543" max="11543" width="5" customWidth="1"/>
    <col min="11544" max="11544" width="4" customWidth="1"/>
    <col min="11545" max="11545" width="5.5703125" customWidth="1"/>
    <col min="11546" max="11546" width="5.7109375" customWidth="1"/>
    <col min="11547" max="11547" width="5.28515625" customWidth="1"/>
    <col min="11548" max="11548" width="6.5703125" customWidth="1"/>
    <col min="11549" max="11549" width="5.7109375" customWidth="1"/>
    <col min="11550" max="11550" width="6.140625" customWidth="1"/>
    <col min="11792" max="11792" width="32.140625" customWidth="1"/>
    <col min="11793" max="11793" width="4.85546875" customWidth="1"/>
    <col min="11794" max="11794" width="4.140625" customWidth="1"/>
    <col min="11795" max="11795" width="4.5703125" customWidth="1"/>
    <col min="11796" max="11796" width="3.85546875" customWidth="1"/>
    <col min="11797" max="11797" width="4.7109375" customWidth="1"/>
    <col min="11798" max="11798" width="4.42578125" customWidth="1"/>
    <col min="11799" max="11799" width="5" customWidth="1"/>
    <col min="11800" max="11800" width="4" customWidth="1"/>
    <col min="11801" max="11801" width="5.5703125" customWidth="1"/>
    <col min="11802" max="11802" width="5.7109375" customWidth="1"/>
    <col min="11803" max="11803" width="5.28515625" customWidth="1"/>
    <col min="11804" max="11804" width="6.5703125" customWidth="1"/>
    <col min="11805" max="11805" width="5.7109375" customWidth="1"/>
    <col min="11806" max="11806" width="6.140625" customWidth="1"/>
    <col min="12048" max="12048" width="32.140625" customWidth="1"/>
    <col min="12049" max="12049" width="4.85546875" customWidth="1"/>
    <col min="12050" max="12050" width="4.140625" customWidth="1"/>
    <col min="12051" max="12051" width="4.5703125" customWidth="1"/>
    <col min="12052" max="12052" width="3.85546875" customWidth="1"/>
    <col min="12053" max="12053" width="4.7109375" customWidth="1"/>
    <col min="12054" max="12054" width="4.42578125" customWidth="1"/>
    <col min="12055" max="12055" width="5" customWidth="1"/>
    <col min="12056" max="12056" width="4" customWidth="1"/>
    <col min="12057" max="12057" width="5.5703125" customWidth="1"/>
    <col min="12058" max="12058" width="5.7109375" customWidth="1"/>
    <col min="12059" max="12059" width="5.28515625" customWidth="1"/>
    <col min="12060" max="12060" width="6.5703125" customWidth="1"/>
    <col min="12061" max="12061" width="5.7109375" customWidth="1"/>
    <col min="12062" max="12062" width="6.140625" customWidth="1"/>
    <col min="12304" max="12304" width="32.140625" customWidth="1"/>
    <col min="12305" max="12305" width="4.85546875" customWidth="1"/>
    <col min="12306" max="12306" width="4.140625" customWidth="1"/>
    <col min="12307" max="12307" width="4.5703125" customWidth="1"/>
    <col min="12308" max="12308" width="3.85546875" customWidth="1"/>
    <col min="12309" max="12309" width="4.7109375" customWidth="1"/>
    <col min="12310" max="12310" width="4.42578125" customWidth="1"/>
    <col min="12311" max="12311" width="5" customWidth="1"/>
    <col min="12312" max="12312" width="4" customWidth="1"/>
    <col min="12313" max="12313" width="5.5703125" customWidth="1"/>
    <col min="12314" max="12314" width="5.7109375" customWidth="1"/>
    <col min="12315" max="12315" width="5.28515625" customWidth="1"/>
    <col min="12316" max="12316" width="6.5703125" customWidth="1"/>
    <col min="12317" max="12317" width="5.7109375" customWidth="1"/>
    <col min="12318" max="12318" width="6.140625" customWidth="1"/>
    <col min="12560" max="12560" width="32.140625" customWidth="1"/>
    <col min="12561" max="12561" width="4.85546875" customWidth="1"/>
    <col min="12562" max="12562" width="4.140625" customWidth="1"/>
    <col min="12563" max="12563" width="4.5703125" customWidth="1"/>
    <col min="12564" max="12564" width="3.85546875" customWidth="1"/>
    <col min="12565" max="12565" width="4.7109375" customWidth="1"/>
    <col min="12566" max="12566" width="4.42578125" customWidth="1"/>
    <col min="12567" max="12567" width="5" customWidth="1"/>
    <col min="12568" max="12568" width="4" customWidth="1"/>
    <col min="12569" max="12569" width="5.5703125" customWidth="1"/>
    <col min="12570" max="12570" width="5.7109375" customWidth="1"/>
    <col min="12571" max="12571" width="5.28515625" customWidth="1"/>
    <col min="12572" max="12572" width="6.5703125" customWidth="1"/>
    <col min="12573" max="12573" width="5.7109375" customWidth="1"/>
    <col min="12574" max="12574" width="6.140625" customWidth="1"/>
    <col min="12816" max="12816" width="32.140625" customWidth="1"/>
    <col min="12817" max="12817" width="4.85546875" customWidth="1"/>
    <col min="12818" max="12818" width="4.140625" customWidth="1"/>
    <col min="12819" max="12819" width="4.5703125" customWidth="1"/>
    <col min="12820" max="12820" width="3.85546875" customWidth="1"/>
    <col min="12821" max="12821" width="4.7109375" customWidth="1"/>
    <col min="12822" max="12822" width="4.42578125" customWidth="1"/>
    <col min="12823" max="12823" width="5" customWidth="1"/>
    <col min="12824" max="12824" width="4" customWidth="1"/>
    <col min="12825" max="12825" width="5.5703125" customWidth="1"/>
    <col min="12826" max="12826" width="5.7109375" customWidth="1"/>
    <col min="12827" max="12827" width="5.28515625" customWidth="1"/>
    <col min="12828" max="12828" width="6.5703125" customWidth="1"/>
    <col min="12829" max="12829" width="5.7109375" customWidth="1"/>
    <col min="12830" max="12830" width="6.140625" customWidth="1"/>
    <col min="13072" max="13072" width="32.140625" customWidth="1"/>
    <col min="13073" max="13073" width="4.85546875" customWidth="1"/>
    <col min="13074" max="13074" width="4.140625" customWidth="1"/>
    <col min="13075" max="13075" width="4.5703125" customWidth="1"/>
    <col min="13076" max="13076" width="3.85546875" customWidth="1"/>
    <col min="13077" max="13077" width="4.7109375" customWidth="1"/>
    <col min="13078" max="13078" width="4.42578125" customWidth="1"/>
    <col min="13079" max="13079" width="5" customWidth="1"/>
    <col min="13080" max="13080" width="4" customWidth="1"/>
    <col min="13081" max="13081" width="5.5703125" customWidth="1"/>
    <col min="13082" max="13082" width="5.7109375" customWidth="1"/>
    <col min="13083" max="13083" width="5.28515625" customWidth="1"/>
    <col min="13084" max="13084" width="6.5703125" customWidth="1"/>
    <col min="13085" max="13085" width="5.7109375" customWidth="1"/>
    <col min="13086" max="13086" width="6.140625" customWidth="1"/>
    <col min="13328" max="13328" width="32.140625" customWidth="1"/>
    <col min="13329" max="13329" width="4.85546875" customWidth="1"/>
    <col min="13330" max="13330" width="4.140625" customWidth="1"/>
    <col min="13331" max="13331" width="4.5703125" customWidth="1"/>
    <col min="13332" max="13332" width="3.85546875" customWidth="1"/>
    <col min="13333" max="13333" width="4.7109375" customWidth="1"/>
    <col min="13334" max="13334" width="4.42578125" customWidth="1"/>
    <col min="13335" max="13335" width="5" customWidth="1"/>
    <col min="13336" max="13336" width="4" customWidth="1"/>
    <col min="13337" max="13337" width="5.5703125" customWidth="1"/>
    <col min="13338" max="13338" width="5.7109375" customWidth="1"/>
    <col min="13339" max="13339" width="5.28515625" customWidth="1"/>
    <col min="13340" max="13340" width="6.5703125" customWidth="1"/>
    <col min="13341" max="13341" width="5.7109375" customWidth="1"/>
    <col min="13342" max="13342" width="6.140625" customWidth="1"/>
    <col min="13584" max="13584" width="32.140625" customWidth="1"/>
    <col min="13585" max="13585" width="4.85546875" customWidth="1"/>
    <col min="13586" max="13586" width="4.140625" customWidth="1"/>
    <col min="13587" max="13587" width="4.5703125" customWidth="1"/>
    <col min="13588" max="13588" width="3.85546875" customWidth="1"/>
    <col min="13589" max="13589" width="4.7109375" customWidth="1"/>
    <col min="13590" max="13590" width="4.42578125" customWidth="1"/>
    <col min="13591" max="13591" width="5" customWidth="1"/>
    <col min="13592" max="13592" width="4" customWidth="1"/>
    <col min="13593" max="13593" width="5.5703125" customWidth="1"/>
    <col min="13594" max="13594" width="5.7109375" customWidth="1"/>
    <col min="13595" max="13595" width="5.28515625" customWidth="1"/>
    <col min="13596" max="13596" width="6.5703125" customWidth="1"/>
    <col min="13597" max="13597" width="5.7109375" customWidth="1"/>
    <col min="13598" max="13598" width="6.140625" customWidth="1"/>
    <col min="13840" max="13840" width="32.140625" customWidth="1"/>
    <col min="13841" max="13841" width="4.85546875" customWidth="1"/>
    <col min="13842" max="13842" width="4.140625" customWidth="1"/>
    <col min="13843" max="13843" width="4.5703125" customWidth="1"/>
    <col min="13844" max="13844" width="3.85546875" customWidth="1"/>
    <col min="13845" max="13845" width="4.7109375" customWidth="1"/>
    <col min="13846" max="13846" width="4.42578125" customWidth="1"/>
    <col min="13847" max="13847" width="5" customWidth="1"/>
    <col min="13848" max="13848" width="4" customWidth="1"/>
    <col min="13849" max="13849" width="5.5703125" customWidth="1"/>
    <col min="13850" max="13850" width="5.7109375" customWidth="1"/>
    <col min="13851" max="13851" width="5.28515625" customWidth="1"/>
    <col min="13852" max="13852" width="6.5703125" customWidth="1"/>
    <col min="13853" max="13853" width="5.7109375" customWidth="1"/>
    <col min="13854" max="13854" width="6.140625" customWidth="1"/>
    <col min="14096" max="14096" width="32.140625" customWidth="1"/>
    <col min="14097" max="14097" width="4.85546875" customWidth="1"/>
    <col min="14098" max="14098" width="4.140625" customWidth="1"/>
    <col min="14099" max="14099" width="4.5703125" customWidth="1"/>
    <col min="14100" max="14100" width="3.85546875" customWidth="1"/>
    <col min="14101" max="14101" width="4.7109375" customWidth="1"/>
    <col min="14102" max="14102" width="4.42578125" customWidth="1"/>
    <col min="14103" max="14103" width="5" customWidth="1"/>
    <col min="14104" max="14104" width="4" customWidth="1"/>
    <col min="14105" max="14105" width="5.5703125" customWidth="1"/>
    <col min="14106" max="14106" width="5.7109375" customWidth="1"/>
    <col min="14107" max="14107" width="5.28515625" customWidth="1"/>
    <col min="14108" max="14108" width="6.5703125" customWidth="1"/>
    <col min="14109" max="14109" width="5.7109375" customWidth="1"/>
    <col min="14110" max="14110" width="6.140625" customWidth="1"/>
    <col min="14352" max="14352" width="32.140625" customWidth="1"/>
    <col min="14353" max="14353" width="4.85546875" customWidth="1"/>
    <col min="14354" max="14354" width="4.140625" customWidth="1"/>
    <col min="14355" max="14355" width="4.5703125" customWidth="1"/>
    <col min="14356" max="14356" width="3.85546875" customWidth="1"/>
    <col min="14357" max="14357" width="4.7109375" customWidth="1"/>
    <col min="14358" max="14358" width="4.42578125" customWidth="1"/>
    <col min="14359" max="14359" width="5" customWidth="1"/>
    <col min="14360" max="14360" width="4" customWidth="1"/>
    <col min="14361" max="14361" width="5.5703125" customWidth="1"/>
    <col min="14362" max="14362" width="5.7109375" customWidth="1"/>
    <col min="14363" max="14363" width="5.28515625" customWidth="1"/>
    <col min="14364" max="14364" width="6.5703125" customWidth="1"/>
    <col min="14365" max="14365" width="5.7109375" customWidth="1"/>
    <col min="14366" max="14366" width="6.140625" customWidth="1"/>
    <col min="14608" max="14608" width="32.140625" customWidth="1"/>
    <col min="14609" max="14609" width="4.85546875" customWidth="1"/>
    <col min="14610" max="14610" width="4.140625" customWidth="1"/>
    <col min="14611" max="14611" width="4.5703125" customWidth="1"/>
    <col min="14612" max="14612" width="3.85546875" customWidth="1"/>
    <col min="14613" max="14613" width="4.7109375" customWidth="1"/>
    <col min="14614" max="14614" width="4.42578125" customWidth="1"/>
    <col min="14615" max="14615" width="5" customWidth="1"/>
    <col min="14616" max="14616" width="4" customWidth="1"/>
    <col min="14617" max="14617" width="5.5703125" customWidth="1"/>
    <col min="14618" max="14618" width="5.7109375" customWidth="1"/>
    <col min="14619" max="14619" width="5.28515625" customWidth="1"/>
    <col min="14620" max="14620" width="6.5703125" customWidth="1"/>
    <col min="14621" max="14621" width="5.7109375" customWidth="1"/>
    <col min="14622" max="14622" width="6.140625" customWidth="1"/>
    <col min="14864" max="14864" width="32.140625" customWidth="1"/>
    <col min="14865" max="14865" width="4.85546875" customWidth="1"/>
    <col min="14866" max="14866" width="4.140625" customWidth="1"/>
    <col min="14867" max="14867" width="4.5703125" customWidth="1"/>
    <col min="14868" max="14868" width="3.85546875" customWidth="1"/>
    <col min="14869" max="14869" width="4.7109375" customWidth="1"/>
    <col min="14870" max="14870" width="4.42578125" customWidth="1"/>
    <col min="14871" max="14871" width="5" customWidth="1"/>
    <col min="14872" max="14872" width="4" customWidth="1"/>
    <col min="14873" max="14873" width="5.5703125" customWidth="1"/>
    <col min="14874" max="14874" width="5.7109375" customWidth="1"/>
    <col min="14875" max="14875" width="5.28515625" customWidth="1"/>
    <col min="14876" max="14876" width="6.5703125" customWidth="1"/>
    <col min="14877" max="14877" width="5.7109375" customWidth="1"/>
    <col min="14878" max="14878" width="6.140625" customWidth="1"/>
    <col min="15120" max="15120" width="32.140625" customWidth="1"/>
    <col min="15121" max="15121" width="4.85546875" customWidth="1"/>
    <col min="15122" max="15122" width="4.140625" customWidth="1"/>
    <col min="15123" max="15123" width="4.5703125" customWidth="1"/>
    <col min="15124" max="15124" width="3.85546875" customWidth="1"/>
    <col min="15125" max="15125" width="4.7109375" customWidth="1"/>
    <col min="15126" max="15126" width="4.42578125" customWidth="1"/>
    <col min="15127" max="15127" width="5" customWidth="1"/>
    <col min="15128" max="15128" width="4" customWidth="1"/>
    <col min="15129" max="15129" width="5.5703125" customWidth="1"/>
    <col min="15130" max="15130" width="5.7109375" customWidth="1"/>
    <col min="15131" max="15131" width="5.28515625" customWidth="1"/>
    <col min="15132" max="15132" width="6.5703125" customWidth="1"/>
    <col min="15133" max="15133" width="5.7109375" customWidth="1"/>
    <col min="15134" max="15134" width="6.140625" customWidth="1"/>
    <col min="15376" max="15376" width="32.140625" customWidth="1"/>
    <col min="15377" max="15377" width="4.85546875" customWidth="1"/>
    <col min="15378" max="15378" width="4.140625" customWidth="1"/>
    <col min="15379" max="15379" width="4.5703125" customWidth="1"/>
    <col min="15380" max="15380" width="3.85546875" customWidth="1"/>
    <col min="15381" max="15381" width="4.7109375" customWidth="1"/>
    <col min="15382" max="15382" width="4.42578125" customWidth="1"/>
    <col min="15383" max="15383" width="5" customWidth="1"/>
    <col min="15384" max="15384" width="4" customWidth="1"/>
    <col min="15385" max="15385" width="5.5703125" customWidth="1"/>
    <col min="15386" max="15386" width="5.7109375" customWidth="1"/>
    <col min="15387" max="15387" width="5.28515625" customWidth="1"/>
    <col min="15388" max="15388" width="6.5703125" customWidth="1"/>
    <col min="15389" max="15389" width="5.7109375" customWidth="1"/>
    <col min="15390" max="15390" width="6.140625" customWidth="1"/>
    <col min="15632" max="15632" width="32.140625" customWidth="1"/>
    <col min="15633" max="15633" width="4.85546875" customWidth="1"/>
    <col min="15634" max="15634" width="4.140625" customWidth="1"/>
    <col min="15635" max="15635" width="4.5703125" customWidth="1"/>
    <col min="15636" max="15636" width="3.85546875" customWidth="1"/>
    <col min="15637" max="15637" width="4.7109375" customWidth="1"/>
    <col min="15638" max="15638" width="4.42578125" customWidth="1"/>
    <col min="15639" max="15639" width="5" customWidth="1"/>
    <col min="15640" max="15640" width="4" customWidth="1"/>
    <col min="15641" max="15641" width="5.5703125" customWidth="1"/>
    <col min="15642" max="15642" width="5.7109375" customWidth="1"/>
    <col min="15643" max="15643" width="5.28515625" customWidth="1"/>
    <col min="15644" max="15644" width="6.5703125" customWidth="1"/>
    <col min="15645" max="15645" width="5.7109375" customWidth="1"/>
    <col min="15646" max="15646" width="6.140625" customWidth="1"/>
    <col min="15888" max="15888" width="32.140625" customWidth="1"/>
    <col min="15889" max="15889" width="4.85546875" customWidth="1"/>
    <col min="15890" max="15890" width="4.140625" customWidth="1"/>
    <col min="15891" max="15891" width="4.5703125" customWidth="1"/>
    <col min="15892" max="15892" width="3.85546875" customWidth="1"/>
    <col min="15893" max="15893" width="4.7109375" customWidth="1"/>
    <col min="15894" max="15894" width="4.42578125" customWidth="1"/>
    <col min="15895" max="15895" width="5" customWidth="1"/>
    <col min="15896" max="15896" width="4" customWidth="1"/>
    <col min="15897" max="15897" width="5.5703125" customWidth="1"/>
    <col min="15898" max="15898" width="5.7109375" customWidth="1"/>
    <col min="15899" max="15899" width="5.28515625" customWidth="1"/>
    <col min="15900" max="15900" width="6.5703125" customWidth="1"/>
    <col min="15901" max="15901" width="5.7109375" customWidth="1"/>
    <col min="15902" max="15902" width="6.140625" customWidth="1"/>
    <col min="16144" max="16144" width="32.140625" customWidth="1"/>
    <col min="16145" max="16145" width="4.85546875" customWidth="1"/>
    <col min="16146" max="16146" width="4.140625" customWidth="1"/>
    <col min="16147" max="16147" width="4.5703125" customWidth="1"/>
    <col min="16148" max="16148" width="3.85546875" customWidth="1"/>
    <col min="16149" max="16149" width="4.7109375" customWidth="1"/>
    <col min="16150" max="16150" width="4.42578125" customWidth="1"/>
    <col min="16151" max="16151" width="5" customWidth="1"/>
    <col min="16152" max="16152" width="4" customWidth="1"/>
    <col min="16153" max="16153" width="5.5703125" customWidth="1"/>
    <col min="16154" max="16154" width="5.7109375" customWidth="1"/>
    <col min="16155" max="16155" width="5.28515625" customWidth="1"/>
    <col min="16156" max="16156" width="6.5703125" customWidth="1"/>
    <col min="16157" max="16157" width="5.7109375" customWidth="1"/>
    <col min="16158" max="16158" width="6.140625" customWidth="1"/>
  </cols>
  <sheetData>
    <row r="1" spans="16:46" ht="17.25" customHeight="1" x14ac:dyDescent="0.25"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</row>
    <row r="2" spans="16:46" ht="19.5" thickBot="1" x14ac:dyDescent="0.3">
      <c r="P2" s="177" t="s">
        <v>181</v>
      </c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</row>
    <row r="3" spans="16:46" ht="18" customHeight="1" x14ac:dyDescent="0.25">
      <c r="P3" s="203" t="s">
        <v>194</v>
      </c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5"/>
      <c r="AE3" s="6"/>
      <c r="AF3" s="209" t="s">
        <v>195</v>
      </c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1"/>
    </row>
    <row r="4" spans="16:46" ht="24.75" customHeight="1" thickBot="1" x14ac:dyDescent="0.3">
      <c r="P4" s="206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8"/>
      <c r="AE4" s="6"/>
      <c r="AF4" s="212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4"/>
    </row>
    <row r="5" spans="16:46" ht="18.75" customHeight="1" thickBot="1" x14ac:dyDescent="0.3">
      <c r="P5" s="189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1"/>
      <c r="AE5" s="6"/>
      <c r="AF5" s="183" t="s">
        <v>51</v>
      </c>
      <c r="AG5" s="184"/>
      <c r="AH5" s="184"/>
      <c r="AI5" s="184" t="s">
        <v>52</v>
      </c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95"/>
    </row>
    <row r="6" spans="16:46" ht="44.25" customHeight="1" x14ac:dyDescent="0.25">
      <c r="P6" s="36" t="s">
        <v>21</v>
      </c>
      <c r="Q6" s="30" t="s">
        <v>22</v>
      </c>
      <c r="R6" s="30" t="s">
        <v>23</v>
      </c>
      <c r="S6" s="30" t="s">
        <v>24</v>
      </c>
      <c r="T6" s="30" t="s">
        <v>25</v>
      </c>
      <c r="U6" s="30" t="s">
        <v>26</v>
      </c>
      <c r="V6" s="30" t="s">
        <v>27</v>
      </c>
      <c r="W6" s="30" t="s">
        <v>28</v>
      </c>
      <c r="X6" s="30" t="s">
        <v>29</v>
      </c>
      <c r="Y6" s="30" t="s">
        <v>30</v>
      </c>
      <c r="Z6" s="30" t="s">
        <v>31</v>
      </c>
      <c r="AA6" s="30" t="s">
        <v>32</v>
      </c>
      <c r="AB6" s="30" t="s">
        <v>33</v>
      </c>
      <c r="AC6" s="30" t="s">
        <v>34</v>
      </c>
      <c r="AD6" s="31" t="s">
        <v>35</v>
      </c>
      <c r="AE6" s="6"/>
      <c r="AF6" s="32" t="s">
        <v>49</v>
      </c>
      <c r="AG6" s="32" t="s">
        <v>50</v>
      </c>
      <c r="AH6" s="33" t="s">
        <v>9</v>
      </c>
      <c r="AI6" s="34" t="s">
        <v>0</v>
      </c>
      <c r="AJ6" s="34" t="s">
        <v>1</v>
      </c>
      <c r="AK6" s="34" t="s">
        <v>2</v>
      </c>
      <c r="AL6" s="34" t="s">
        <v>3</v>
      </c>
      <c r="AM6" s="34" t="s">
        <v>4</v>
      </c>
      <c r="AN6" s="34" t="s">
        <v>5</v>
      </c>
      <c r="AO6" s="34" t="s">
        <v>6</v>
      </c>
      <c r="AP6" s="34" t="s">
        <v>8</v>
      </c>
      <c r="AQ6" s="34" t="s">
        <v>10</v>
      </c>
      <c r="AR6" s="34" t="s">
        <v>11</v>
      </c>
      <c r="AS6" s="34" t="s">
        <v>7</v>
      </c>
      <c r="AT6" s="35" t="s">
        <v>48</v>
      </c>
    </row>
    <row r="7" spans="16:46" ht="38.25" customHeight="1" x14ac:dyDescent="0.25">
      <c r="P7" s="108" t="s">
        <v>106</v>
      </c>
      <c r="Q7" s="125"/>
      <c r="R7" s="54">
        <f>1</f>
        <v>1</v>
      </c>
      <c r="S7" s="54"/>
      <c r="T7" s="54"/>
      <c r="U7" s="54"/>
      <c r="V7" s="54"/>
      <c r="W7" s="54"/>
      <c r="X7" s="8"/>
      <c r="Y7" s="8"/>
      <c r="Z7" s="8"/>
      <c r="AA7" s="8"/>
      <c r="AB7" s="8"/>
      <c r="AC7" s="8">
        <f>SUM(Q7:AB7)</f>
        <v>1</v>
      </c>
      <c r="AD7" s="9">
        <f>AC7/AC40*100</f>
        <v>2</v>
      </c>
      <c r="AE7" s="6"/>
      <c r="AF7" s="10">
        <f>1</f>
        <v>1</v>
      </c>
      <c r="AG7" s="10"/>
      <c r="AH7" s="11">
        <f>AF7+AG7</f>
        <v>1</v>
      </c>
      <c r="AI7" s="10"/>
      <c r="AJ7" s="10"/>
      <c r="AK7" s="10"/>
      <c r="AL7" s="10"/>
      <c r="AM7" s="10"/>
      <c r="AN7" s="10"/>
      <c r="AO7" s="10"/>
      <c r="AP7" s="10">
        <f>1</f>
        <v>1</v>
      </c>
      <c r="AQ7" s="10"/>
      <c r="AR7" s="10"/>
      <c r="AS7" s="10"/>
      <c r="AT7" s="11">
        <f>AS7+AR7+AQ7+AP7+AO7+AN7+AM7+AL7+AK7+AJ7+AI7</f>
        <v>1</v>
      </c>
    </row>
    <row r="8" spans="16:46" ht="3" hidden="1" customHeight="1" x14ac:dyDescent="0.25">
      <c r="P8" s="110" t="s">
        <v>59</v>
      </c>
      <c r="Q8" s="54"/>
      <c r="R8" s="59"/>
      <c r="S8" s="59"/>
      <c r="T8" s="59"/>
      <c r="U8" s="59"/>
      <c r="V8" s="59"/>
      <c r="W8" s="59"/>
      <c r="X8" s="25"/>
      <c r="Y8" s="25"/>
      <c r="Z8" s="25"/>
      <c r="AA8" s="25"/>
      <c r="AB8" s="25"/>
      <c r="AC8" s="8">
        <f t="shared" ref="AC8:AC39" si="0">SUM(Q8:AB8)</f>
        <v>0</v>
      </c>
      <c r="AD8" s="9">
        <f>AC8/AC40*100</f>
        <v>0</v>
      </c>
      <c r="AE8" s="6"/>
      <c r="AF8" s="10"/>
      <c r="AG8" s="10"/>
      <c r="AH8" s="11">
        <f t="shared" ref="AH8:AH71" si="1">AF8+AG8</f>
        <v>0</v>
      </c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1">
        <f t="shared" ref="AT8:AT71" si="2">AS8+AR8+AQ8+AP8+AO8+AN8+AM8+AL8+AK8+AJ8+AI8</f>
        <v>0</v>
      </c>
    </row>
    <row r="9" spans="16:46" ht="33" customHeight="1" x14ac:dyDescent="0.25">
      <c r="P9" s="110" t="s">
        <v>55</v>
      </c>
      <c r="Q9" s="54">
        <f>1+1+2+1</f>
        <v>5</v>
      </c>
      <c r="R9" s="59">
        <f>1+2+1+1+2</f>
        <v>7</v>
      </c>
      <c r="S9" s="59">
        <f>2+1+1+1+1+1+1</f>
        <v>8</v>
      </c>
      <c r="T9" s="59"/>
      <c r="U9" s="59"/>
      <c r="V9" s="59"/>
      <c r="W9" s="59"/>
      <c r="X9" s="25"/>
      <c r="Y9" s="25"/>
      <c r="Z9" s="25"/>
      <c r="AA9" s="25"/>
      <c r="AB9" s="25"/>
      <c r="AC9" s="8">
        <f t="shared" si="0"/>
        <v>20</v>
      </c>
      <c r="AD9" s="9">
        <f>AC9/AC40*100</f>
        <v>40</v>
      </c>
      <c r="AE9" s="6"/>
      <c r="AF9" s="10">
        <f>1+1+1+2+2+2+1+1+1+1+2+1+1+1+1+1</f>
        <v>20</v>
      </c>
      <c r="AG9" s="10"/>
      <c r="AH9" s="11">
        <f t="shared" si="1"/>
        <v>20</v>
      </c>
      <c r="AI9" s="10"/>
      <c r="AJ9" s="10"/>
      <c r="AK9" s="10"/>
      <c r="AL9" s="10"/>
      <c r="AM9" s="10"/>
      <c r="AN9" s="10"/>
      <c r="AO9" s="10"/>
      <c r="AP9" s="10">
        <f>1+1+1+2+2+2+1+1+1+1+2+1+1+1+1</f>
        <v>19</v>
      </c>
      <c r="AQ9" s="10">
        <f>1</f>
        <v>1</v>
      </c>
      <c r="AR9" s="10"/>
      <c r="AS9" s="10"/>
      <c r="AT9" s="11">
        <f t="shared" si="2"/>
        <v>20</v>
      </c>
    </row>
    <row r="10" spans="16:46" ht="1.5" hidden="1" customHeight="1" x14ac:dyDescent="0.25">
      <c r="P10" s="110" t="s">
        <v>141</v>
      </c>
      <c r="Q10" s="54"/>
      <c r="R10" s="59"/>
      <c r="S10" s="59"/>
      <c r="T10" s="59"/>
      <c r="U10" s="59"/>
      <c r="V10" s="59"/>
      <c r="W10" s="59"/>
      <c r="X10" s="25"/>
      <c r="Y10" s="25"/>
      <c r="Z10" s="25"/>
      <c r="AA10" s="25"/>
      <c r="AB10" s="25"/>
      <c r="AC10" s="8">
        <f t="shared" si="0"/>
        <v>0</v>
      </c>
      <c r="AD10" s="9">
        <f>AC10/AC40*100</f>
        <v>0</v>
      </c>
      <c r="AE10" s="6"/>
      <c r="AF10" s="10"/>
      <c r="AG10" s="10"/>
      <c r="AH10" s="11">
        <f t="shared" si="1"/>
        <v>0</v>
      </c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1">
        <f t="shared" si="2"/>
        <v>0</v>
      </c>
    </row>
    <row r="11" spans="16:46" ht="15" hidden="1" customHeight="1" x14ac:dyDescent="0.25">
      <c r="P11" s="110" t="s">
        <v>123</v>
      </c>
      <c r="Q11" s="54"/>
      <c r="R11" s="59"/>
      <c r="S11" s="59"/>
      <c r="T11" s="59"/>
      <c r="U11" s="59"/>
      <c r="V11" s="59"/>
      <c r="W11" s="59"/>
      <c r="X11" s="25"/>
      <c r="Y11" s="25"/>
      <c r="Z11" s="25"/>
      <c r="AA11" s="25"/>
      <c r="AB11" s="25"/>
      <c r="AC11" s="8">
        <f t="shared" si="0"/>
        <v>0</v>
      </c>
      <c r="AD11" s="9">
        <f>AC11/AC40*100</f>
        <v>0</v>
      </c>
      <c r="AE11" s="6"/>
      <c r="AF11" s="10"/>
      <c r="AG11" s="10"/>
      <c r="AH11" s="11">
        <f t="shared" si="1"/>
        <v>0</v>
      </c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1">
        <f t="shared" si="2"/>
        <v>0</v>
      </c>
    </row>
    <row r="12" spans="16:46" ht="43.5" hidden="1" customHeight="1" x14ac:dyDescent="0.25">
      <c r="P12" s="110" t="s">
        <v>124</v>
      </c>
      <c r="Q12" s="54"/>
      <c r="R12" s="59"/>
      <c r="S12" s="59"/>
      <c r="T12" s="59"/>
      <c r="U12" s="59"/>
      <c r="V12" s="59"/>
      <c r="W12" s="59"/>
      <c r="X12" s="25"/>
      <c r="Y12" s="25"/>
      <c r="Z12" s="25"/>
      <c r="AA12" s="25"/>
      <c r="AB12" s="25"/>
      <c r="AC12" s="8">
        <f t="shared" si="0"/>
        <v>0</v>
      </c>
      <c r="AD12" s="9">
        <f>AC12/AC40*100</f>
        <v>0</v>
      </c>
      <c r="AE12" s="6"/>
      <c r="AF12" s="10"/>
      <c r="AG12" s="10"/>
      <c r="AH12" s="11">
        <f t="shared" si="1"/>
        <v>0</v>
      </c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1">
        <f t="shared" si="2"/>
        <v>0</v>
      </c>
    </row>
    <row r="13" spans="16:46" ht="39.75" hidden="1" customHeight="1" x14ac:dyDescent="0.25">
      <c r="P13" s="110" t="s">
        <v>125</v>
      </c>
      <c r="Q13" s="54"/>
      <c r="R13" s="59"/>
      <c r="S13" s="59"/>
      <c r="T13" s="59"/>
      <c r="U13" s="59"/>
      <c r="V13" s="59"/>
      <c r="W13" s="59"/>
      <c r="X13" s="25"/>
      <c r="Y13" s="25"/>
      <c r="Z13" s="25"/>
      <c r="AA13" s="25"/>
      <c r="AB13" s="25"/>
      <c r="AC13" s="8">
        <f t="shared" si="0"/>
        <v>0</v>
      </c>
      <c r="AD13" s="9">
        <f>AC13/AC40*100</f>
        <v>0</v>
      </c>
      <c r="AE13" s="6"/>
      <c r="AF13" s="10"/>
      <c r="AG13" s="10"/>
      <c r="AH13" s="11">
        <f t="shared" si="1"/>
        <v>0</v>
      </c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1">
        <f t="shared" si="2"/>
        <v>0</v>
      </c>
    </row>
    <row r="14" spans="16:46" ht="59.25" hidden="1" customHeight="1" x14ac:dyDescent="0.25">
      <c r="P14" s="110" t="s">
        <v>150</v>
      </c>
      <c r="Q14" s="54"/>
      <c r="R14" s="59"/>
      <c r="S14" s="59"/>
      <c r="T14" s="59"/>
      <c r="U14" s="59"/>
      <c r="V14" s="59"/>
      <c r="W14" s="59"/>
      <c r="X14" s="25"/>
      <c r="Y14" s="25"/>
      <c r="Z14" s="25"/>
      <c r="AA14" s="25"/>
      <c r="AB14" s="25"/>
      <c r="AC14" s="8">
        <f t="shared" si="0"/>
        <v>0</v>
      </c>
      <c r="AD14" s="9">
        <f>AC14/AC40*100</f>
        <v>0</v>
      </c>
      <c r="AE14" s="6"/>
      <c r="AF14" s="10"/>
      <c r="AG14" s="10"/>
      <c r="AH14" s="11">
        <f t="shared" si="1"/>
        <v>0</v>
      </c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1">
        <f t="shared" si="2"/>
        <v>0</v>
      </c>
    </row>
    <row r="15" spans="16:46" ht="51.75" hidden="1" customHeight="1" x14ac:dyDescent="0.25">
      <c r="P15" s="110" t="s">
        <v>126</v>
      </c>
      <c r="Q15" s="54"/>
      <c r="R15" s="59"/>
      <c r="S15" s="59"/>
      <c r="T15" s="59"/>
      <c r="U15" s="59"/>
      <c r="V15" s="59"/>
      <c r="W15" s="59"/>
      <c r="X15" s="25"/>
      <c r="Y15" s="25"/>
      <c r="Z15" s="25"/>
      <c r="AA15" s="25"/>
      <c r="AB15" s="25"/>
      <c r="AC15" s="8">
        <f t="shared" si="0"/>
        <v>0</v>
      </c>
      <c r="AD15" s="9">
        <f>AC15/AC40*100</f>
        <v>0</v>
      </c>
      <c r="AE15" s="6"/>
      <c r="AF15" s="10"/>
      <c r="AG15" s="10"/>
      <c r="AH15" s="11">
        <f>SUM(AF15:AG15)</f>
        <v>0</v>
      </c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1">
        <f>SUM(AI15:AS15)</f>
        <v>0</v>
      </c>
    </row>
    <row r="16" spans="16:46" ht="6.75" hidden="1" customHeight="1" x14ac:dyDescent="0.25">
      <c r="P16" s="110" t="s">
        <v>127</v>
      </c>
      <c r="Q16" s="54"/>
      <c r="R16" s="59"/>
      <c r="S16" s="59"/>
      <c r="T16" s="59"/>
      <c r="U16" s="59"/>
      <c r="V16" s="59"/>
      <c r="W16" s="59"/>
      <c r="X16" s="25"/>
      <c r="Y16" s="25"/>
      <c r="Z16" s="25"/>
      <c r="AA16" s="25"/>
      <c r="AB16" s="25"/>
      <c r="AC16" s="8">
        <f t="shared" si="0"/>
        <v>0</v>
      </c>
      <c r="AD16" s="9">
        <f>AC16/AC40*100</f>
        <v>0</v>
      </c>
      <c r="AE16" s="6"/>
      <c r="AF16" s="10"/>
      <c r="AG16" s="10"/>
      <c r="AH16" s="11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1"/>
    </row>
    <row r="17" spans="16:46" ht="41.25" hidden="1" customHeight="1" x14ac:dyDescent="0.25">
      <c r="P17" s="110" t="s">
        <v>128</v>
      </c>
      <c r="Q17" s="54"/>
      <c r="R17" s="59"/>
      <c r="S17" s="59"/>
      <c r="T17" s="59"/>
      <c r="U17" s="59"/>
      <c r="V17" s="59"/>
      <c r="W17" s="59"/>
      <c r="X17" s="25"/>
      <c r="Y17" s="25"/>
      <c r="Z17" s="25"/>
      <c r="AA17" s="25"/>
      <c r="AB17" s="25"/>
      <c r="AC17" s="8">
        <f t="shared" si="0"/>
        <v>0</v>
      </c>
      <c r="AD17" s="9">
        <f>AC17/AC40*100</f>
        <v>0</v>
      </c>
      <c r="AE17" s="6"/>
      <c r="AF17" s="10"/>
      <c r="AG17" s="10"/>
      <c r="AH17" s="11">
        <f>SUM(AF17:AG17)</f>
        <v>0</v>
      </c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1">
        <f>SUM(AI17:AS17)</f>
        <v>0</v>
      </c>
    </row>
    <row r="18" spans="16:46" ht="27" hidden="1" customHeight="1" x14ac:dyDescent="0.25">
      <c r="P18" s="110" t="s">
        <v>142</v>
      </c>
      <c r="Q18" s="54"/>
      <c r="R18" s="59"/>
      <c r="S18" s="59"/>
      <c r="T18" s="59"/>
      <c r="U18" s="59"/>
      <c r="V18" s="59"/>
      <c r="W18" s="59"/>
      <c r="X18" s="25"/>
      <c r="Y18" s="25"/>
      <c r="Z18" s="25"/>
      <c r="AA18" s="25"/>
      <c r="AB18" s="25"/>
      <c r="AC18" s="8">
        <f t="shared" si="0"/>
        <v>0</v>
      </c>
      <c r="AD18" s="9">
        <f>AC18/AC40*100</f>
        <v>0</v>
      </c>
      <c r="AE18" s="6"/>
      <c r="AF18" s="10"/>
      <c r="AG18" s="10"/>
      <c r="AH18" s="11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1"/>
    </row>
    <row r="19" spans="16:46" ht="60" hidden="1" customHeight="1" x14ac:dyDescent="0.25">
      <c r="P19" s="110" t="s">
        <v>129</v>
      </c>
      <c r="Q19" s="54"/>
      <c r="R19" s="59"/>
      <c r="S19" s="59"/>
      <c r="T19" s="59"/>
      <c r="U19" s="59"/>
      <c r="V19" s="59"/>
      <c r="W19" s="59"/>
      <c r="X19" s="25"/>
      <c r="Y19" s="25"/>
      <c r="Z19" s="25"/>
      <c r="AA19" s="25"/>
      <c r="AB19" s="25"/>
      <c r="AC19" s="8">
        <f t="shared" si="0"/>
        <v>0</v>
      </c>
      <c r="AD19" s="9">
        <f>AC19/AC40*100</f>
        <v>0</v>
      </c>
      <c r="AE19" s="6"/>
      <c r="AF19" s="10"/>
      <c r="AG19" s="10"/>
      <c r="AH19" s="11">
        <f>SUM(AF19:AG19)</f>
        <v>0</v>
      </c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1">
        <f>SUM(AI19:AS19)</f>
        <v>0</v>
      </c>
    </row>
    <row r="20" spans="16:46" ht="5.25" hidden="1" customHeight="1" x14ac:dyDescent="0.25">
      <c r="P20" s="110" t="s">
        <v>143</v>
      </c>
      <c r="Q20" s="54"/>
      <c r="R20" s="59"/>
      <c r="S20" s="59"/>
      <c r="T20" s="59"/>
      <c r="U20" s="59"/>
      <c r="V20" s="59"/>
      <c r="W20" s="59"/>
      <c r="X20" s="25"/>
      <c r="Y20" s="25"/>
      <c r="Z20" s="25"/>
      <c r="AA20" s="25"/>
      <c r="AB20" s="25"/>
      <c r="AC20" s="8">
        <f t="shared" si="0"/>
        <v>0</v>
      </c>
      <c r="AD20" s="9">
        <f>AC20/AC40*100</f>
        <v>0</v>
      </c>
      <c r="AE20" s="6"/>
      <c r="AF20" s="10"/>
      <c r="AG20" s="10"/>
      <c r="AH20" s="11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1"/>
    </row>
    <row r="21" spans="16:46" ht="41.25" hidden="1" customHeight="1" x14ac:dyDescent="0.25">
      <c r="P21" s="110" t="s">
        <v>130</v>
      </c>
      <c r="Q21" s="54"/>
      <c r="R21" s="59"/>
      <c r="S21" s="59"/>
      <c r="T21" s="59"/>
      <c r="U21" s="59"/>
      <c r="V21" s="59"/>
      <c r="W21" s="59"/>
      <c r="X21" s="25"/>
      <c r="Y21" s="25"/>
      <c r="Z21" s="25"/>
      <c r="AA21" s="25"/>
      <c r="AB21" s="25"/>
      <c r="AC21" s="8">
        <f t="shared" si="0"/>
        <v>0</v>
      </c>
      <c r="AD21" s="9">
        <f>AC21/AC40*100</f>
        <v>0</v>
      </c>
      <c r="AE21" s="6"/>
      <c r="AF21" s="10"/>
      <c r="AG21" s="10"/>
      <c r="AH21" s="11">
        <f>SUM(AF21:AG21)</f>
        <v>0</v>
      </c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1">
        <f>SUM(AI21:AS21)</f>
        <v>0</v>
      </c>
    </row>
    <row r="22" spans="16:46" ht="105" hidden="1" customHeight="1" x14ac:dyDescent="0.25">
      <c r="P22" s="110" t="s">
        <v>131</v>
      </c>
      <c r="Q22" s="54"/>
      <c r="R22" s="59"/>
      <c r="S22" s="59"/>
      <c r="T22" s="59"/>
      <c r="U22" s="59"/>
      <c r="V22" s="59"/>
      <c r="W22" s="59"/>
      <c r="X22" s="25"/>
      <c r="Y22" s="25"/>
      <c r="Z22" s="25"/>
      <c r="AA22" s="25"/>
      <c r="AB22" s="25"/>
      <c r="AC22" s="8">
        <f t="shared" si="0"/>
        <v>0</v>
      </c>
      <c r="AD22" s="9">
        <f>AC22/AC40*100</f>
        <v>0</v>
      </c>
      <c r="AE22" s="6"/>
      <c r="AF22" s="10"/>
      <c r="AG22" s="10"/>
      <c r="AH22" s="11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1"/>
    </row>
    <row r="23" spans="16:46" ht="12.75" hidden="1" customHeight="1" x14ac:dyDescent="0.25">
      <c r="P23" s="110" t="s">
        <v>132</v>
      </c>
      <c r="Q23" s="54"/>
      <c r="R23" s="59"/>
      <c r="S23" s="59"/>
      <c r="T23" s="59"/>
      <c r="U23" s="59"/>
      <c r="V23" s="59"/>
      <c r="W23" s="59"/>
      <c r="X23" s="25"/>
      <c r="Y23" s="25"/>
      <c r="Z23" s="25"/>
      <c r="AA23" s="25"/>
      <c r="AB23" s="25"/>
      <c r="AC23" s="8">
        <f t="shared" si="0"/>
        <v>0</v>
      </c>
      <c r="AD23" s="9">
        <f>AC23/AC40*100</f>
        <v>0</v>
      </c>
      <c r="AE23" s="6"/>
      <c r="AF23" s="10"/>
      <c r="AG23" s="10"/>
      <c r="AH23" s="11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1"/>
    </row>
    <row r="24" spans="16:46" ht="1.5" hidden="1" customHeight="1" x14ac:dyDescent="0.25">
      <c r="P24" s="110" t="s">
        <v>133</v>
      </c>
      <c r="Q24" s="54"/>
      <c r="R24" s="59"/>
      <c r="S24" s="59"/>
      <c r="T24" s="59"/>
      <c r="U24" s="59"/>
      <c r="V24" s="59"/>
      <c r="W24" s="59"/>
      <c r="X24" s="25"/>
      <c r="Y24" s="25"/>
      <c r="Z24" s="25"/>
      <c r="AA24" s="25"/>
      <c r="AB24" s="25"/>
      <c r="AC24" s="8">
        <f t="shared" si="0"/>
        <v>0</v>
      </c>
      <c r="AD24" s="9">
        <f>AC24/AC40*100</f>
        <v>0</v>
      </c>
      <c r="AE24" s="6"/>
      <c r="AF24" s="10"/>
      <c r="AG24" s="10"/>
      <c r="AH24" s="11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1"/>
    </row>
    <row r="25" spans="16:46" ht="24.75" customHeight="1" x14ac:dyDescent="0.25">
      <c r="P25" s="110" t="s">
        <v>134</v>
      </c>
      <c r="Q25" s="54">
        <f>1</f>
        <v>1</v>
      </c>
      <c r="R25" s="59"/>
      <c r="S25" s="59">
        <f>1</f>
        <v>1</v>
      </c>
      <c r="T25" s="59"/>
      <c r="U25" s="59"/>
      <c r="V25" s="59"/>
      <c r="W25" s="59"/>
      <c r="X25" s="25"/>
      <c r="Y25" s="25"/>
      <c r="Z25" s="25"/>
      <c r="AA25" s="25"/>
      <c r="AB25" s="25"/>
      <c r="AC25" s="8">
        <f t="shared" si="0"/>
        <v>2</v>
      </c>
      <c r="AD25" s="9">
        <f>AC25/AC40*100</f>
        <v>4</v>
      </c>
      <c r="AE25" s="6"/>
      <c r="AF25" s="10">
        <f>1+1</f>
        <v>2</v>
      </c>
      <c r="AG25" s="10"/>
      <c r="AH25" s="11">
        <f>SUM(AF25:AG25)</f>
        <v>2</v>
      </c>
      <c r="AI25" s="10"/>
      <c r="AJ25" s="10"/>
      <c r="AK25" s="10"/>
      <c r="AL25" s="10"/>
      <c r="AM25" s="10"/>
      <c r="AN25" s="10"/>
      <c r="AO25" s="10"/>
      <c r="AP25" s="10">
        <f>1+1</f>
        <v>2</v>
      </c>
      <c r="AQ25" s="10"/>
      <c r="AR25" s="10"/>
      <c r="AS25" s="10"/>
      <c r="AT25" s="11">
        <f>SUM(AI25:AS25)</f>
        <v>2</v>
      </c>
    </row>
    <row r="26" spans="16:46" ht="0.75" hidden="1" customHeight="1" x14ac:dyDescent="0.25">
      <c r="P26" s="110" t="s">
        <v>107</v>
      </c>
      <c r="Q26" s="54"/>
      <c r="R26" s="59"/>
      <c r="S26" s="59"/>
      <c r="T26" s="59"/>
      <c r="U26" s="59"/>
      <c r="V26" s="59"/>
      <c r="W26" s="59"/>
      <c r="X26" s="25"/>
      <c r="Y26" s="25"/>
      <c r="Z26" s="25"/>
      <c r="AA26" s="25"/>
      <c r="AB26" s="25"/>
      <c r="AC26" s="8">
        <f t="shared" si="0"/>
        <v>0</v>
      </c>
      <c r="AD26" s="9">
        <f>AC26/AC40*100</f>
        <v>0</v>
      </c>
      <c r="AE26" s="6"/>
      <c r="AF26" s="10"/>
      <c r="AG26" s="10"/>
      <c r="AH26" s="11">
        <v>0</v>
      </c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1"/>
    </row>
    <row r="27" spans="16:46" ht="10.5" hidden="1" customHeight="1" x14ac:dyDescent="0.25">
      <c r="P27" s="110" t="s">
        <v>135</v>
      </c>
      <c r="Q27" s="54"/>
      <c r="R27" s="59"/>
      <c r="S27" s="59"/>
      <c r="T27" s="59"/>
      <c r="U27" s="59"/>
      <c r="V27" s="59"/>
      <c r="W27" s="59"/>
      <c r="X27" s="25"/>
      <c r="Y27" s="25"/>
      <c r="Z27" s="25"/>
      <c r="AA27" s="25"/>
      <c r="AB27" s="25"/>
      <c r="AC27" s="8">
        <f t="shared" si="0"/>
        <v>0</v>
      </c>
      <c r="AD27" s="9">
        <f>AC27/AC40*100</f>
        <v>0</v>
      </c>
      <c r="AE27" s="6"/>
      <c r="AF27" s="10"/>
      <c r="AG27" s="10"/>
      <c r="AH27" s="11">
        <f t="shared" si="1"/>
        <v>0</v>
      </c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1">
        <f t="shared" si="2"/>
        <v>0</v>
      </c>
    </row>
    <row r="28" spans="16:46" ht="53.25" hidden="1" customHeight="1" x14ac:dyDescent="0.25">
      <c r="P28" s="110" t="s">
        <v>136</v>
      </c>
      <c r="Q28" s="54"/>
      <c r="R28" s="59"/>
      <c r="S28" s="59"/>
      <c r="T28" s="59"/>
      <c r="U28" s="59"/>
      <c r="V28" s="59"/>
      <c r="W28" s="59"/>
      <c r="X28" s="25"/>
      <c r="Y28" s="25"/>
      <c r="Z28" s="25"/>
      <c r="AA28" s="25"/>
      <c r="AB28" s="25"/>
      <c r="AC28" s="8">
        <f t="shared" si="0"/>
        <v>0</v>
      </c>
      <c r="AD28" s="9">
        <f>AC28/AC40*100</f>
        <v>0</v>
      </c>
      <c r="AE28" s="6"/>
      <c r="AF28" s="10"/>
      <c r="AG28" s="10"/>
      <c r="AH28" s="11">
        <f>SUM(AF28:AG28)</f>
        <v>0</v>
      </c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1">
        <f t="shared" si="2"/>
        <v>0</v>
      </c>
    </row>
    <row r="29" spans="16:46" ht="42" customHeight="1" x14ac:dyDescent="0.25">
      <c r="P29" s="110" t="s">
        <v>112</v>
      </c>
      <c r="Q29" s="54">
        <f>5</f>
        <v>5</v>
      </c>
      <c r="R29" s="59"/>
      <c r="S29" s="59">
        <f>5</f>
        <v>5</v>
      </c>
      <c r="T29" s="59"/>
      <c r="U29" s="59"/>
      <c r="V29" s="59"/>
      <c r="W29" s="59"/>
      <c r="X29" s="25"/>
      <c r="Y29" s="25"/>
      <c r="Z29" s="25"/>
      <c r="AA29" s="25"/>
      <c r="AB29" s="25"/>
      <c r="AC29" s="8">
        <f t="shared" si="0"/>
        <v>10</v>
      </c>
      <c r="AD29" s="9">
        <f>AC29/AC40*100</f>
        <v>20</v>
      </c>
      <c r="AE29" s="6"/>
      <c r="AF29" s="10">
        <f>4</f>
        <v>4</v>
      </c>
      <c r="AG29" s="10">
        <f>1</f>
        <v>1</v>
      </c>
      <c r="AH29" s="11">
        <f t="shared" si="1"/>
        <v>5</v>
      </c>
      <c r="AI29" s="10"/>
      <c r="AJ29" s="10"/>
      <c r="AK29" s="10"/>
      <c r="AL29" s="10"/>
      <c r="AM29" s="10"/>
      <c r="AN29" s="10"/>
      <c r="AO29" s="10">
        <f>1</f>
        <v>1</v>
      </c>
      <c r="AP29" s="10">
        <f>3</f>
        <v>3</v>
      </c>
      <c r="AQ29" s="10"/>
      <c r="AR29" s="10">
        <f>1</f>
        <v>1</v>
      </c>
      <c r="AS29" s="10"/>
      <c r="AT29" s="11">
        <f t="shared" si="2"/>
        <v>5</v>
      </c>
    </row>
    <row r="30" spans="16:46" ht="12" hidden="1" customHeight="1" x14ac:dyDescent="0.25">
      <c r="P30" s="110" t="s">
        <v>36</v>
      </c>
      <c r="Q30" s="54"/>
      <c r="R30" s="59"/>
      <c r="S30" s="59"/>
      <c r="T30" s="59"/>
      <c r="U30" s="59"/>
      <c r="V30" s="59"/>
      <c r="W30" s="59"/>
      <c r="X30" s="25"/>
      <c r="Y30" s="25"/>
      <c r="Z30" s="25"/>
      <c r="AA30" s="25"/>
      <c r="AB30" s="25"/>
      <c r="AC30" s="8">
        <f t="shared" si="0"/>
        <v>0</v>
      </c>
      <c r="AD30" s="9">
        <f>AC30/AC40*100</f>
        <v>0</v>
      </c>
      <c r="AE30" s="6"/>
      <c r="AF30" s="10"/>
      <c r="AG30" s="10"/>
      <c r="AH30" s="11">
        <f t="shared" si="1"/>
        <v>0</v>
      </c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1">
        <f t="shared" si="2"/>
        <v>0</v>
      </c>
    </row>
    <row r="31" spans="16:46" ht="17.25" hidden="1" customHeight="1" x14ac:dyDescent="0.25">
      <c r="P31" s="110" t="s">
        <v>137</v>
      </c>
      <c r="Q31" s="54"/>
      <c r="R31" s="59"/>
      <c r="S31" s="59"/>
      <c r="T31" s="59"/>
      <c r="U31" s="59"/>
      <c r="V31" s="59"/>
      <c r="W31" s="59"/>
      <c r="X31" s="25"/>
      <c r="Y31" s="25"/>
      <c r="Z31" s="25"/>
      <c r="AA31" s="25"/>
      <c r="AB31" s="25"/>
      <c r="AC31" s="8">
        <f t="shared" si="0"/>
        <v>0</v>
      </c>
      <c r="AD31" s="9">
        <f>AC31/AC40*100</f>
        <v>0</v>
      </c>
      <c r="AE31" s="6"/>
      <c r="AF31" s="10"/>
      <c r="AG31" s="10"/>
      <c r="AH31" s="11">
        <f t="shared" si="1"/>
        <v>0</v>
      </c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1">
        <f t="shared" si="2"/>
        <v>0</v>
      </c>
    </row>
    <row r="32" spans="16:46" ht="3.75" hidden="1" customHeight="1" x14ac:dyDescent="0.25">
      <c r="P32" s="110" t="s">
        <v>138</v>
      </c>
      <c r="Q32" s="54"/>
      <c r="R32" s="59"/>
      <c r="S32" s="59"/>
      <c r="T32" s="59"/>
      <c r="U32" s="59"/>
      <c r="V32" s="59"/>
      <c r="W32" s="59"/>
      <c r="X32" s="25"/>
      <c r="Y32" s="25"/>
      <c r="Z32" s="25"/>
      <c r="AA32" s="25"/>
      <c r="AB32" s="25"/>
      <c r="AC32" s="8">
        <f t="shared" si="0"/>
        <v>0</v>
      </c>
      <c r="AD32" s="9">
        <f>AC32/AC40*100</f>
        <v>0</v>
      </c>
      <c r="AE32" s="6"/>
      <c r="AF32" s="10"/>
      <c r="AG32" s="10"/>
      <c r="AH32" s="11">
        <f t="shared" si="1"/>
        <v>0</v>
      </c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1">
        <f t="shared" si="2"/>
        <v>0</v>
      </c>
    </row>
    <row r="33" spans="16:49" ht="21" customHeight="1" x14ac:dyDescent="0.25">
      <c r="P33" s="110" t="s">
        <v>139</v>
      </c>
      <c r="Q33" s="54">
        <f>1</f>
        <v>1</v>
      </c>
      <c r="R33" s="59"/>
      <c r="S33" s="59"/>
      <c r="T33" s="59"/>
      <c r="U33" s="59"/>
      <c r="V33" s="59"/>
      <c r="W33" s="59"/>
      <c r="X33" s="25"/>
      <c r="Y33" s="25"/>
      <c r="Z33" s="25"/>
      <c r="AA33" s="25"/>
      <c r="AB33" s="25"/>
      <c r="AC33" s="8">
        <f t="shared" si="0"/>
        <v>1</v>
      </c>
      <c r="AD33" s="9">
        <f>AC33/AC40*100</f>
        <v>2</v>
      </c>
      <c r="AE33" s="6"/>
      <c r="AF33" s="10">
        <f>1</f>
        <v>1</v>
      </c>
      <c r="AG33" s="10"/>
      <c r="AH33" s="11">
        <f t="shared" si="1"/>
        <v>1</v>
      </c>
      <c r="AI33" s="10"/>
      <c r="AJ33" s="10"/>
      <c r="AK33" s="10"/>
      <c r="AL33" s="10"/>
      <c r="AM33" s="10"/>
      <c r="AN33" s="10"/>
      <c r="AO33" s="10">
        <f>1</f>
        <v>1</v>
      </c>
      <c r="AP33" s="10"/>
      <c r="AQ33" s="10"/>
      <c r="AR33" s="10"/>
      <c r="AS33" s="10"/>
      <c r="AT33" s="11">
        <f t="shared" si="2"/>
        <v>1</v>
      </c>
    </row>
    <row r="34" spans="16:49" ht="28.5" hidden="1" customHeight="1" x14ac:dyDescent="0.25">
      <c r="P34" s="109" t="s">
        <v>144</v>
      </c>
      <c r="Q34" s="54"/>
      <c r="R34" s="59"/>
      <c r="S34" s="59"/>
      <c r="T34" s="59"/>
      <c r="U34" s="59"/>
      <c r="V34" s="59"/>
      <c r="W34" s="59"/>
      <c r="X34" s="25"/>
      <c r="Y34" s="25"/>
      <c r="Z34" s="25"/>
      <c r="AA34" s="25"/>
      <c r="AB34" s="25"/>
      <c r="AC34" s="8">
        <f t="shared" si="0"/>
        <v>0</v>
      </c>
      <c r="AD34" s="9">
        <f>AC34/AC40*100</f>
        <v>0</v>
      </c>
      <c r="AE34" s="6"/>
      <c r="AF34" s="10"/>
      <c r="AG34" s="10"/>
      <c r="AH34" s="11">
        <f t="shared" si="1"/>
        <v>0</v>
      </c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1">
        <f t="shared" si="2"/>
        <v>0</v>
      </c>
    </row>
    <row r="35" spans="16:49" ht="48.75" hidden="1" customHeight="1" x14ac:dyDescent="0.25">
      <c r="P35" s="109" t="s">
        <v>145</v>
      </c>
      <c r="Q35" s="54"/>
      <c r="R35" s="59"/>
      <c r="S35" s="59"/>
      <c r="T35" s="59"/>
      <c r="U35" s="59"/>
      <c r="V35" s="59"/>
      <c r="W35" s="59"/>
      <c r="X35" s="25"/>
      <c r="Y35" s="25"/>
      <c r="Z35" s="25"/>
      <c r="AA35" s="25"/>
      <c r="AB35" s="25"/>
      <c r="AC35" s="8">
        <f t="shared" si="0"/>
        <v>0</v>
      </c>
      <c r="AD35" s="9">
        <f>AC35/AC40*100</f>
        <v>0</v>
      </c>
      <c r="AE35" s="6"/>
      <c r="AF35" s="10"/>
      <c r="AG35" s="10"/>
      <c r="AH35" s="11">
        <f t="shared" si="1"/>
        <v>0</v>
      </c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1">
        <f t="shared" si="2"/>
        <v>0</v>
      </c>
    </row>
    <row r="36" spans="16:49" ht="9.75" hidden="1" customHeight="1" x14ac:dyDescent="0.25">
      <c r="P36" s="109" t="s">
        <v>146</v>
      </c>
      <c r="Q36" s="54"/>
      <c r="R36" s="59"/>
      <c r="S36" s="59"/>
      <c r="T36" s="59"/>
      <c r="U36" s="59"/>
      <c r="V36" s="59"/>
      <c r="W36" s="59"/>
      <c r="X36" s="25"/>
      <c r="Y36" s="25"/>
      <c r="Z36" s="25"/>
      <c r="AA36" s="25"/>
      <c r="AB36" s="25"/>
      <c r="AC36" s="8">
        <f t="shared" si="0"/>
        <v>0</v>
      </c>
      <c r="AD36" s="9">
        <f>AC36/AC40*100</f>
        <v>0</v>
      </c>
      <c r="AE36" s="6"/>
      <c r="AF36" s="10"/>
      <c r="AG36" s="10"/>
      <c r="AH36" s="11">
        <f t="shared" si="1"/>
        <v>0</v>
      </c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1">
        <f t="shared" si="2"/>
        <v>0</v>
      </c>
    </row>
    <row r="37" spans="16:49" ht="33.75" customHeight="1" x14ac:dyDescent="0.25">
      <c r="P37" s="109" t="s">
        <v>147</v>
      </c>
      <c r="Q37" s="54"/>
      <c r="R37" s="59">
        <f>1</f>
        <v>1</v>
      </c>
      <c r="S37" s="59">
        <f>1</f>
        <v>1</v>
      </c>
      <c r="T37" s="59"/>
      <c r="U37" s="59"/>
      <c r="V37" s="59"/>
      <c r="W37" s="59"/>
      <c r="X37" s="25"/>
      <c r="Y37" s="25"/>
      <c r="Z37" s="25"/>
      <c r="AA37" s="25"/>
      <c r="AB37" s="25"/>
      <c r="AC37" s="8">
        <f t="shared" si="0"/>
        <v>2</v>
      </c>
      <c r="AD37" s="9">
        <f>AC37/AC40*100</f>
        <v>4</v>
      </c>
      <c r="AE37" s="6"/>
      <c r="AF37" s="10">
        <f>1+1</f>
        <v>2</v>
      </c>
      <c r="AG37" s="10"/>
      <c r="AH37" s="11">
        <f t="shared" si="1"/>
        <v>2</v>
      </c>
      <c r="AI37" s="10"/>
      <c r="AJ37" s="10"/>
      <c r="AK37" s="10"/>
      <c r="AL37" s="10"/>
      <c r="AM37" s="10"/>
      <c r="AN37" s="10"/>
      <c r="AO37" s="10"/>
      <c r="AP37" s="10"/>
      <c r="AQ37" s="10">
        <f>1</f>
        <v>1</v>
      </c>
      <c r="AR37" s="10">
        <f>1</f>
        <v>1</v>
      </c>
      <c r="AS37" s="10"/>
      <c r="AT37" s="11">
        <f t="shared" si="2"/>
        <v>2</v>
      </c>
    </row>
    <row r="38" spans="16:49" ht="53.25" customHeight="1" x14ac:dyDescent="0.25">
      <c r="P38" s="131" t="s">
        <v>148</v>
      </c>
      <c r="Q38" s="54">
        <f>5</f>
        <v>5</v>
      </c>
      <c r="R38" s="59"/>
      <c r="S38" s="59">
        <f>1+5+1+2</f>
        <v>9</v>
      </c>
      <c r="T38" s="59"/>
      <c r="U38" s="59"/>
      <c r="V38" s="59"/>
      <c r="W38" s="59"/>
      <c r="X38" s="25"/>
      <c r="Y38" s="25"/>
      <c r="Z38" s="25"/>
      <c r="AA38" s="25"/>
      <c r="AB38" s="25"/>
      <c r="AC38" s="8">
        <f t="shared" si="0"/>
        <v>14</v>
      </c>
      <c r="AD38" s="9">
        <f>AC38/AC40*100</f>
        <v>28.000000000000004</v>
      </c>
      <c r="AE38" s="6"/>
      <c r="AF38" s="10">
        <f>4+1+1+2</f>
        <v>8</v>
      </c>
      <c r="AG38" s="10">
        <f>1</f>
        <v>1</v>
      </c>
      <c r="AH38" s="11">
        <f t="shared" si="1"/>
        <v>9</v>
      </c>
      <c r="AI38" s="10"/>
      <c r="AJ38" s="10"/>
      <c r="AK38" s="10"/>
      <c r="AL38" s="10"/>
      <c r="AM38" s="10"/>
      <c r="AN38" s="10"/>
      <c r="AO38" s="10">
        <f>1</f>
        <v>1</v>
      </c>
      <c r="AP38" s="10">
        <f>3+1+1+2</f>
        <v>7</v>
      </c>
      <c r="AQ38" s="10"/>
      <c r="AR38" s="10">
        <f>1</f>
        <v>1</v>
      </c>
      <c r="AS38" s="10"/>
      <c r="AT38" s="11">
        <f t="shared" si="2"/>
        <v>9</v>
      </c>
    </row>
    <row r="39" spans="16:49" ht="42" hidden="1" customHeight="1" x14ac:dyDescent="0.25">
      <c r="P39" s="1" t="s">
        <v>53</v>
      </c>
      <c r="Q39" s="8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8">
        <f t="shared" si="0"/>
        <v>0</v>
      </c>
      <c r="AD39" s="9">
        <f>AC39/AC40*100</f>
        <v>0</v>
      </c>
      <c r="AE39" s="6"/>
      <c r="AF39" s="10"/>
      <c r="AG39" s="10"/>
      <c r="AH39" s="11">
        <f t="shared" si="1"/>
        <v>0</v>
      </c>
      <c r="AI39" s="10">
        <f>SUM(AH39)</f>
        <v>0</v>
      </c>
      <c r="AJ39" s="10">
        <f>SUM(AI39)</f>
        <v>0</v>
      </c>
      <c r="AK39" s="10">
        <f>SUM(AJ39)</f>
        <v>0</v>
      </c>
      <c r="AL39" s="10"/>
      <c r="AM39" s="10"/>
      <c r="AN39" s="10"/>
      <c r="AO39" s="10"/>
      <c r="AP39" s="10"/>
      <c r="AQ39" s="10"/>
      <c r="AR39" s="10"/>
      <c r="AS39" s="10"/>
      <c r="AT39" s="11">
        <f t="shared" si="2"/>
        <v>0</v>
      </c>
    </row>
    <row r="40" spans="16:49" ht="15" customHeight="1" x14ac:dyDescent="0.25">
      <c r="P40" s="42" t="s">
        <v>19</v>
      </c>
      <c r="Q40" s="122">
        <f t="shared" ref="Q40:V40" si="3">SUM(Q7:Q39)</f>
        <v>17</v>
      </c>
      <c r="R40" s="122">
        <f t="shared" si="3"/>
        <v>9</v>
      </c>
      <c r="S40" s="122">
        <f t="shared" si="3"/>
        <v>24</v>
      </c>
      <c r="T40" s="122">
        <f t="shared" si="3"/>
        <v>0</v>
      </c>
      <c r="U40" s="122">
        <f t="shared" si="3"/>
        <v>0</v>
      </c>
      <c r="V40" s="122">
        <f t="shared" si="3"/>
        <v>0</v>
      </c>
      <c r="W40" s="122">
        <f>SUM(W7:W39)</f>
        <v>0</v>
      </c>
      <c r="X40" s="122">
        <f>SUM(X7:X39)</f>
        <v>0</v>
      </c>
      <c r="Y40" s="122">
        <f>SUM(Y7:Y39)</f>
        <v>0</v>
      </c>
      <c r="Z40" s="122">
        <f>SUM(Z7:Z39)</f>
        <v>0</v>
      </c>
      <c r="AA40" s="122">
        <f>SUM(AA7:AA38)</f>
        <v>0</v>
      </c>
      <c r="AB40" s="122">
        <f>SUM(AB7:AB38)</f>
        <v>0</v>
      </c>
      <c r="AC40" s="123">
        <f>SUM(AC7:AC39)</f>
        <v>50</v>
      </c>
      <c r="AD40" s="40">
        <f>SUM(AD7:AD39)</f>
        <v>100</v>
      </c>
      <c r="AE40" s="43"/>
      <c r="AF40" s="44">
        <f>SUM(AF7:AF39)</f>
        <v>38</v>
      </c>
      <c r="AG40" s="44">
        <f>SUM(AG7:AG39)</f>
        <v>2</v>
      </c>
      <c r="AH40" s="45">
        <f>SUM(AH7:AH39)</f>
        <v>40</v>
      </c>
      <c r="AI40" s="44">
        <f>SUM(AI7:AI39)</f>
        <v>0</v>
      </c>
      <c r="AJ40" s="44">
        <f>SUM(AJ7:AJ39)</f>
        <v>0</v>
      </c>
      <c r="AK40" s="44">
        <f t="shared" ref="AK40:AS40" si="4">SUM(AK7:AK39)</f>
        <v>0</v>
      </c>
      <c r="AL40" s="44">
        <f t="shared" si="4"/>
        <v>0</v>
      </c>
      <c r="AM40" s="44">
        <f t="shared" si="4"/>
        <v>0</v>
      </c>
      <c r="AN40" s="44">
        <f t="shared" si="4"/>
        <v>0</v>
      </c>
      <c r="AO40" s="44">
        <f t="shared" si="4"/>
        <v>3</v>
      </c>
      <c r="AP40" s="44">
        <f t="shared" si="4"/>
        <v>32</v>
      </c>
      <c r="AQ40" s="44">
        <f t="shared" si="4"/>
        <v>2</v>
      </c>
      <c r="AR40" s="44">
        <f t="shared" si="4"/>
        <v>3</v>
      </c>
      <c r="AS40" s="44">
        <f t="shared" si="4"/>
        <v>0</v>
      </c>
      <c r="AT40" s="45">
        <f>SUM(AT7:AT38)</f>
        <v>40</v>
      </c>
      <c r="AU40" s="46"/>
      <c r="AV40" s="5"/>
    </row>
    <row r="41" spans="16:49" ht="19.149999999999999" customHeight="1" thickBot="1" x14ac:dyDescent="0.3">
      <c r="P41" s="13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14"/>
      <c r="AE41" s="6"/>
      <c r="AF41" s="15"/>
      <c r="AG41" s="15"/>
      <c r="AH41" s="16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6"/>
    </row>
    <row r="42" spans="16:49" ht="58.9" customHeight="1" thickBot="1" x14ac:dyDescent="0.3">
      <c r="P42" s="215" t="s">
        <v>196</v>
      </c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7"/>
      <c r="AE42" s="6"/>
      <c r="AF42" s="192" t="s">
        <v>197</v>
      </c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  <c r="AT42" s="194"/>
    </row>
    <row r="43" spans="16:49" ht="20.45" customHeight="1" thickBot="1" x14ac:dyDescent="0.3">
      <c r="P43" s="189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1"/>
      <c r="AE43" s="6"/>
      <c r="AF43" s="183" t="s">
        <v>51</v>
      </c>
      <c r="AG43" s="184"/>
      <c r="AH43" s="184"/>
      <c r="AI43" s="184" t="s">
        <v>52</v>
      </c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95"/>
    </row>
    <row r="44" spans="16:49" ht="50.25" customHeight="1" x14ac:dyDescent="0.25">
      <c r="P44" s="36" t="s">
        <v>21</v>
      </c>
      <c r="Q44" s="30" t="s">
        <v>22</v>
      </c>
      <c r="R44" s="30" t="s">
        <v>23</v>
      </c>
      <c r="S44" s="30" t="s">
        <v>24</v>
      </c>
      <c r="T44" s="30" t="s">
        <v>25</v>
      </c>
      <c r="U44" s="30" t="s">
        <v>26</v>
      </c>
      <c r="V44" s="30" t="s">
        <v>27</v>
      </c>
      <c r="W44" s="104" t="s">
        <v>28</v>
      </c>
      <c r="X44" s="30" t="s">
        <v>29</v>
      </c>
      <c r="Y44" s="30" t="s">
        <v>30</v>
      </c>
      <c r="Z44" s="30" t="s">
        <v>31</v>
      </c>
      <c r="AA44" s="30" t="s">
        <v>32</v>
      </c>
      <c r="AB44" s="30" t="s">
        <v>33</v>
      </c>
      <c r="AC44" s="30" t="s">
        <v>34</v>
      </c>
      <c r="AD44" s="31" t="s">
        <v>35</v>
      </c>
      <c r="AE44" s="6"/>
      <c r="AF44" s="32" t="s">
        <v>49</v>
      </c>
      <c r="AG44" s="32" t="s">
        <v>50</v>
      </c>
      <c r="AH44" s="33" t="s">
        <v>9</v>
      </c>
      <c r="AI44" s="34" t="s">
        <v>0</v>
      </c>
      <c r="AJ44" s="34" t="s">
        <v>1</v>
      </c>
      <c r="AK44" s="34" t="s">
        <v>2</v>
      </c>
      <c r="AL44" s="34" t="s">
        <v>3</v>
      </c>
      <c r="AM44" s="34" t="s">
        <v>4</v>
      </c>
      <c r="AN44" s="34" t="s">
        <v>5</v>
      </c>
      <c r="AO44" s="34" t="s">
        <v>6</v>
      </c>
      <c r="AP44" s="34" t="s">
        <v>8</v>
      </c>
      <c r="AQ44" s="34" t="s">
        <v>10</v>
      </c>
      <c r="AR44" s="34" t="s">
        <v>11</v>
      </c>
      <c r="AS44" s="34" t="s">
        <v>7</v>
      </c>
      <c r="AT44" s="35" t="s">
        <v>48</v>
      </c>
      <c r="AV44" s="50" t="s">
        <v>20</v>
      </c>
    </row>
    <row r="45" spans="16:49" ht="48" customHeight="1" x14ac:dyDescent="0.25">
      <c r="P45" s="107" t="s">
        <v>106</v>
      </c>
      <c r="Q45" s="8"/>
      <c r="R45" s="8"/>
      <c r="S45" s="8">
        <f>1</f>
        <v>1</v>
      </c>
      <c r="T45" s="8"/>
      <c r="U45" s="8"/>
      <c r="V45" s="8"/>
      <c r="W45" s="8"/>
      <c r="X45" s="8"/>
      <c r="Y45" s="8"/>
      <c r="Z45" s="8"/>
      <c r="AA45" s="8"/>
      <c r="AB45" s="8"/>
      <c r="AC45" s="8">
        <f>SUM(Q45:AB45)</f>
        <v>1</v>
      </c>
      <c r="AD45" s="9">
        <f>AC45/AC78*100</f>
        <v>0.22421524663677131</v>
      </c>
      <c r="AE45" s="6"/>
      <c r="AF45" s="17"/>
      <c r="AG45" s="17"/>
      <c r="AH45" s="18">
        <f t="shared" si="1"/>
        <v>0</v>
      </c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8">
        <f t="shared" si="2"/>
        <v>0</v>
      </c>
    </row>
    <row r="46" spans="16:49" ht="3.75" hidden="1" customHeight="1" x14ac:dyDescent="0.25">
      <c r="P46" s="109" t="s">
        <v>59</v>
      </c>
      <c r="Q46" s="8"/>
      <c r="R46" s="25"/>
      <c r="S46" s="8"/>
      <c r="T46" s="25"/>
      <c r="U46" s="25"/>
      <c r="V46" s="25"/>
      <c r="W46" s="25"/>
      <c r="X46" s="25"/>
      <c r="Y46" s="25"/>
      <c r="Z46" s="25"/>
      <c r="AA46" s="25"/>
      <c r="AB46" s="25"/>
      <c r="AC46" s="8">
        <f t="shared" ref="AC46:AC77" si="5">SUM(Q46:AB46)</f>
        <v>0</v>
      </c>
      <c r="AD46" s="9">
        <f>AC46/AC78*100</f>
        <v>0</v>
      </c>
      <c r="AE46" s="6"/>
      <c r="AF46" s="10"/>
      <c r="AG46" s="10"/>
      <c r="AH46" s="11">
        <f t="shared" si="1"/>
        <v>0</v>
      </c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1">
        <f t="shared" si="2"/>
        <v>0</v>
      </c>
      <c r="AW46" t="s">
        <v>20</v>
      </c>
    </row>
    <row r="47" spans="16:49" ht="33" customHeight="1" x14ac:dyDescent="0.25">
      <c r="P47" s="109" t="s">
        <v>55</v>
      </c>
      <c r="Q47" s="8">
        <f>1+1+1+1+1+1+1+2+1+1+1+1+2+1+3+4</f>
        <v>23</v>
      </c>
      <c r="R47" s="25">
        <f>1+1+1+1+1+1+1+1+1+2+1+1+1+1+2+1+3+1+1</f>
        <v>23</v>
      </c>
      <c r="S47" s="8">
        <f>1+2+1+2+1+1+1+1+1+1+1+1+1+4+2+1+1+2+1+1+2+1+1+1+1+1</f>
        <v>34</v>
      </c>
      <c r="T47" s="25"/>
      <c r="U47" s="25"/>
      <c r="V47" s="25"/>
      <c r="W47" s="25"/>
      <c r="X47" s="25"/>
      <c r="Y47" s="25"/>
      <c r="Z47" s="25"/>
      <c r="AA47" s="25"/>
      <c r="AB47" s="25"/>
      <c r="AC47" s="8">
        <f t="shared" si="5"/>
        <v>80</v>
      </c>
      <c r="AD47" s="9">
        <f>AC47/AC78*100</f>
        <v>17.937219730941703</v>
      </c>
      <c r="AE47" s="6"/>
      <c r="AF47" s="10">
        <f>1+1+1+1+2+1+2+1+1+1+1+1+1+1+1+2+1+1+1+1+1+1+1+1+1+2+1+1+1+1+1+1+1+1+4+2+1+1+3+4+1+1+2+1+3+1+2+1+1+2+1+1+2+1+1+1+1+1+1</f>
        <v>78</v>
      </c>
      <c r="AG47" s="10"/>
      <c r="AH47" s="11">
        <f>SUM(AF47:AG47)</f>
        <v>78</v>
      </c>
      <c r="AI47" s="10"/>
      <c r="AJ47" s="10"/>
      <c r="AK47" s="10"/>
      <c r="AL47" s="10"/>
      <c r="AM47" s="10"/>
      <c r="AN47" s="10">
        <f>1+2+1+1+1+1</f>
        <v>7</v>
      </c>
      <c r="AO47" s="10">
        <f>1+1+1</f>
        <v>3</v>
      </c>
      <c r="AP47" s="10">
        <f>1+1+1+1+2+1+2+1+1+1+1+1+1+1+1+1+1+1+1+1+1+1+1+1+1+1+4+2+1+1+3+3+1+1+2+1+3+2+1+1+2+1+1+2+1+1+1+1+1</f>
        <v>65</v>
      </c>
      <c r="AQ47" s="10">
        <f>1+1</f>
        <v>2</v>
      </c>
      <c r="AR47" s="10">
        <f>1</f>
        <v>1</v>
      </c>
      <c r="AS47" s="10"/>
      <c r="AT47" s="11">
        <f t="shared" si="2"/>
        <v>78</v>
      </c>
    </row>
    <row r="48" spans="16:49" ht="72.75" hidden="1" customHeight="1" x14ac:dyDescent="0.25">
      <c r="P48" s="109" t="s">
        <v>140</v>
      </c>
      <c r="Q48" s="8"/>
      <c r="R48" s="25"/>
      <c r="S48" s="8"/>
      <c r="T48" s="25"/>
      <c r="U48" s="25"/>
      <c r="V48" s="25"/>
      <c r="W48" s="25"/>
      <c r="X48" s="25"/>
      <c r="Y48" s="25"/>
      <c r="Z48" s="25"/>
      <c r="AA48" s="25"/>
      <c r="AB48" s="25"/>
      <c r="AC48" s="8">
        <f t="shared" si="5"/>
        <v>0</v>
      </c>
      <c r="AD48" s="9">
        <f>AC48/AC78*100</f>
        <v>0</v>
      </c>
      <c r="AE48" s="6"/>
      <c r="AF48" s="10"/>
      <c r="AG48" s="10"/>
      <c r="AH48" s="11">
        <f t="shared" si="1"/>
        <v>0</v>
      </c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1">
        <f t="shared" si="2"/>
        <v>0</v>
      </c>
    </row>
    <row r="49" spans="16:46" ht="25.5" customHeight="1" x14ac:dyDescent="0.25">
      <c r="P49" s="109" t="s">
        <v>149</v>
      </c>
      <c r="Q49" s="8">
        <f>1</f>
        <v>1</v>
      </c>
      <c r="R49" s="25">
        <f>1</f>
        <v>1</v>
      </c>
      <c r="S49" s="8"/>
      <c r="T49" s="25"/>
      <c r="U49" s="25"/>
      <c r="V49" s="25"/>
      <c r="W49" s="25"/>
      <c r="X49" s="25"/>
      <c r="Y49" s="25"/>
      <c r="Z49" s="25"/>
      <c r="AA49" s="25"/>
      <c r="AB49" s="25"/>
      <c r="AC49" s="8">
        <f t="shared" si="5"/>
        <v>2</v>
      </c>
      <c r="AD49" s="9">
        <f>AC49/AC78*100</f>
        <v>0.44843049327354262</v>
      </c>
      <c r="AE49" s="6"/>
      <c r="AF49" s="10">
        <f>1+1</f>
        <v>2</v>
      </c>
      <c r="AG49" s="10"/>
      <c r="AH49" s="11">
        <f t="shared" si="1"/>
        <v>2</v>
      </c>
      <c r="AI49" s="10"/>
      <c r="AJ49" s="10"/>
      <c r="AK49" s="10"/>
      <c r="AL49" s="10"/>
      <c r="AM49" s="10"/>
      <c r="AN49" s="10"/>
      <c r="AO49" s="10"/>
      <c r="AP49" s="10">
        <f>1+1</f>
        <v>2</v>
      </c>
      <c r="AQ49" s="10"/>
      <c r="AR49" s="10"/>
      <c r="AS49" s="10"/>
      <c r="AT49" s="11">
        <f t="shared" si="2"/>
        <v>2</v>
      </c>
    </row>
    <row r="50" spans="16:46" ht="31.5" customHeight="1" x14ac:dyDescent="0.25">
      <c r="P50" s="109" t="s">
        <v>124</v>
      </c>
      <c r="Q50" s="8"/>
      <c r="R50" s="25"/>
      <c r="S50" s="8">
        <f>1+2+1</f>
        <v>4</v>
      </c>
      <c r="T50" s="25"/>
      <c r="U50" s="25"/>
      <c r="V50" s="25"/>
      <c r="W50" s="25"/>
      <c r="X50" s="25"/>
      <c r="Y50" s="25"/>
      <c r="Z50" s="25"/>
      <c r="AA50" s="25"/>
      <c r="AB50" s="25"/>
      <c r="AC50" s="8">
        <f t="shared" si="5"/>
        <v>4</v>
      </c>
      <c r="AD50" s="9">
        <f>AC50/AC78*100</f>
        <v>0.89686098654708524</v>
      </c>
      <c r="AE50" s="6"/>
      <c r="AF50" s="10">
        <f>1+2</f>
        <v>3</v>
      </c>
      <c r="AG50" s="10"/>
      <c r="AH50" s="11">
        <f>SUM(AF50:AG50)</f>
        <v>3</v>
      </c>
      <c r="AI50" s="10"/>
      <c r="AJ50" s="10"/>
      <c r="AK50" s="10"/>
      <c r="AL50" s="10"/>
      <c r="AM50" s="10"/>
      <c r="AN50" s="10"/>
      <c r="AO50" s="10">
        <f>1</f>
        <v>1</v>
      </c>
      <c r="AP50" s="10">
        <f>1+1</f>
        <v>2</v>
      </c>
      <c r="AQ50" s="10"/>
      <c r="AR50" s="10"/>
      <c r="AS50" s="10"/>
      <c r="AT50" s="11">
        <f>SUM(AI50:AS50)</f>
        <v>3</v>
      </c>
    </row>
    <row r="51" spans="16:46" ht="39" customHeight="1" x14ac:dyDescent="0.25">
      <c r="P51" s="109" t="s">
        <v>125</v>
      </c>
      <c r="Q51" s="8">
        <f>1</f>
        <v>1</v>
      </c>
      <c r="R51" s="25"/>
      <c r="S51" s="8">
        <f>1</f>
        <v>1</v>
      </c>
      <c r="T51" s="25"/>
      <c r="U51" s="25"/>
      <c r="V51" s="25"/>
      <c r="W51" s="25"/>
      <c r="X51" s="25"/>
      <c r="Y51" s="25"/>
      <c r="Z51" s="25"/>
      <c r="AA51" s="25"/>
      <c r="AB51" s="25"/>
      <c r="AC51" s="8">
        <f t="shared" si="5"/>
        <v>2</v>
      </c>
      <c r="AD51" s="9">
        <f>AC51/AC78*100</f>
        <v>0.44843049327354262</v>
      </c>
      <c r="AE51" s="6"/>
      <c r="AF51" s="10">
        <f>1</f>
        <v>1</v>
      </c>
      <c r="AG51" s="10"/>
      <c r="AH51" s="11">
        <f>SUM(AF51:AG51)</f>
        <v>1</v>
      </c>
      <c r="AI51" s="10"/>
      <c r="AJ51" s="10"/>
      <c r="AK51" s="10"/>
      <c r="AL51" s="10"/>
      <c r="AM51" s="10"/>
      <c r="AN51" s="10"/>
      <c r="AO51" s="10"/>
      <c r="AP51" s="10">
        <f>1</f>
        <v>1</v>
      </c>
      <c r="AQ51" s="10"/>
      <c r="AR51" s="10"/>
      <c r="AS51" s="10"/>
      <c r="AT51" s="11">
        <f>SUM(AI51:AS51)</f>
        <v>1</v>
      </c>
    </row>
    <row r="52" spans="16:46" ht="48.75" customHeight="1" x14ac:dyDescent="0.25">
      <c r="P52" s="109" t="s">
        <v>150</v>
      </c>
      <c r="Q52" s="8">
        <f>3+1</f>
        <v>4</v>
      </c>
      <c r="R52" s="25"/>
      <c r="S52" s="8">
        <f>1+4+2+1</f>
        <v>8</v>
      </c>
      <c r="T52" s="25"/>
      <c r="U52" s="25"/>
      <c r="V52" s="25"/>
      <c r="W52" s="25"/>
      <c r="X52" s="25"/>
      <c r="Y52" s="25"/>
      <c r="Z52" s="25"/>
      <c r="AA52" s="25"/>
      <c r="AB52" s="25"/>
      <c r="AC52" s="8">
        <f t="shared" si="5"/>
        <v>12</v>
      </c>
      <c r="AD52" s="9">
        <f>AC52/AC78*100</f>
        <v>2.6905829596412558</v>
      </c>
      <c r="AE52" s="6"/>
      <c r="AF52" s="10">
        <v>0</v>
      </c>
      <c r="AG52" s="10"/>
      <c r="AH52" s="11">
        <f t="shared" si="1"/>
        <v>0</v>
      </c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1">
        <f t="shared" si="2"/>
        <v>0</v>
      </c>
    </row>
    <row r="53" spans="16:46" ht="42" customHeight="1" x14ac:dyDescent="0.25">
      <c r="P53" s="109" t="s">
        <v>126</v>
      </c>
      <c r="Q53" s="8">
        <f>2</f>
        <v>2</v>
      </c>
      <c r="R53" s="25">
        <f>1</f>
        <v>1</v>
      </c>
      <c r="S53" s="8">
        <f>1+1</f>
        <v>2</v>
      </c>
      <c r="T53" s="25"/>
      <c r="U53" s="25"/>
      <c r="V53" s="25"/>
      <c r="W53" s="25"/>
      <c r="X53" s="25"/>
      <c r="Y53" s="25"/>
      <c r="Z53" s="25"/>
      <c r="AA53" s="25"/>
      <c r="AB53" s="25"/>
      <c r="AC53" s="8">
        <f t="shared" si="5"/>
        <v>5</v>
      </c>
      <c r="AD53" s="9">
        <f>AC53/AC78*100</f>
        <v>1.1210762331838564</v>
      </c>
      <c r="AE53" s="6"/>
      <c r="AF53" s="10">
        <f>1+1</f>
        <v>2</v>
      </c>
      <c r="AG53" s="10">
        <f>1</f>
        <v>1</v>
      </c>
      <c r="AH53" s="11">
        <f t="shared" si="1"/>
        <v>3</v>
      </c>
      <c r="AI53" s="10"/>
      <c r="AJ53" s="10"/>
      <c r="AK53" s="10"/>
      <c r="AL53" s="10"/>
      <c r="AM53" s="10"/>
      <c r="AN53" s="10"/>
      <c r="AO53" s="10"/>
      <c r="AP53" s="10">
        <f>2+1</f>
        <v>3</v>
      </c>
      <c r="AQ53" s="10"/>
      <c r="AR53" s="10"/>
      <c r="AS53" s="10"/>
      <c r="AT53" s="11">
        <f t="shared" si="2"/>
        <v>3</v>
      </c>
    </row>
    <row r="54" spans="16:46" ht="25.5" customHeight="1" x14ac:dyDescent="0.25">
      <c r="P54" s="109" t="s">
        <v>127</v>
      </c>
      <c r="Q54" s="8">
        <f>1+2+1+1</f>
        <v>5</v>
      </c>
      <c r="R54" s="25">
        <f>1+1</f>
        <v>2</v>
      </c>
      <c r="S54" s="8">
        <f>1+2+1+1+2</f>
        <v>7</v>
      </c>
      <c r="T54" s="25"/>
      <c r="U54" s="25"/>
      <c r="V54" s="25"/>
      <c r="W54" s="25"/>
      <c r="X54" s="25"/>
      <c r="Y54" s="25"/>
      <c r="Z54" s="25"/>
      <c r="AA54" s="25"/>
      <c r="AB54" s="25"/>
      <c r="AC54" s="8">
        <f t="shared" si="5"/>
        <v>14</v>
      </c>
      <c r="AD54" s="9">
        <f>AC54/AC78*100</f>
        <v>3.1390134529147984</v>
      </c>
      <c r="AE54" s="6"/>
      <c r="AF54" s="10">
        <f>2+1+1+1+2</f>
        <v>7</v>
      </c>
      <c r="AG54" s="10"/>
      <c r="AH54" s="11">
        <f t="shared" si="1"/>
        <v>7</v>
      </c>
      <c r="AI54" s="10"/>
      <c r="AJ54" s="10"/>
      <c r="AK54" s="10"/>
      <c r="AL54" s="10"/>
      <c r="AM54" s="10"/>
      <c r="AN54" s="10"/>
      <c r="AO54" s="10"/>
      <c r="AP54" s="10">
        <f>2+1+1+1+2</f>
        <v>7</v>
      </c>
      <c r="AQ54" s="10"/>
      <c r="AR54" s="10"/>
      <c r="AS54" s="10"/>
      <c r="AT54" s="11">
        <f t="shared" si="2"/>
        <v>7</v>
      </c>
    </row>
    <row r="55" spans="16:46" ht="38.25" customHeight="1" x14ac:dyDescent="0.25">
      <c r="P55" s="109" t="s">
        <v>128</v>
      </c>
      <c r="Q55" s="8">
        <f>1+1+2+1+2</f>
        <v>7</v>
      </c>
      <c r="R55" s="25">
        <f>1+1+1+2+1</f>
        <v>6</v>
      </c>
      <c r="S55" s="8">
        <f>1+1+1+1+1+1+1</f>
        <v>7</v>
      </c>
      <c r="T55" s="25"/>
      <c r="U55" s="25"/>
      <c r="V55" s="25"/>
      <c r="W55" s="25"/>
      <c r="X55" s="25"/>
      <c r="Y55" s="25"/>
      <c r="Z55" s="25"/>
      <c r="AA55" s="25"/>
      <c r="AB55" s="25"/>
      <c r="AC55" s="8">
        <f t="shared" si="5"/>
        <v>20</v>
      </c>
      <c r="AD55" s="9">
        <f>AC55/AC78*100</f>
        <v>4.4843049327354256</v>
      </c>
      <c r="AE55" s="6"/>
      <c r="AF55" s="10">
        <f>1+1+2+1+2+1+1+1+1</f>
        <v>11</v>
      </c>
      <c r="AG55" s="10"/>
      <c r="AH55" s="11">
        <f t="shared" si="1"/>
        <v>11</v>
      </c>
      <c r="AI55" s="10"/>
      <c r="AJ55" s="10"/>
      <c r="AK55" s="10"/>
      <c r="AL55" s="10"/>
      <c r="AM55" s="10"/>
      <c r="AN55" s="10"/>
      <c r="AO55" s="10">
        <f>1</f>
        <v>1</v>
      </c>
      <c r="AP55" s="10">
        <f>1+1+2+1+2+1+1+1</f>
        <v>10</v>
      </c>
      <c r="AQ55" s="10"/>
      <c r="AR55" s="10"/>
      <c r="AS55" s="10"/>
      <c r="AT55" s="11">
        <f t="shared" si="2"/>
        <v>11</v>
      </c>
    </row>
    <row r="56" spans="16:46" ht="41.25" customHeight="1" x14ac:dyDescent="0.25">
      <c r="P56" s="109" t="s">
        <v>151</v>
      </c>
      <c r="Q56" s="8"/>
      <c r="R56" s="25">
        <f>1+1</f>
        <v>2</v>
      </c>
      <c r="S56" s="8"/>
      <c r="T56" s="25"/>
      <c r="U56" s="25"/>
      <c r="V56" s="25"/>
      <c r="W56" s="25"/>
      <c r="X56" s="25"/>
      <c r="Y56" s="19"/>
      <c r="Z56" s="19"/>
      <c r="AA56" s="19"/>
      <c r="AB56" s="19"/>
      <c r="AC56" s="8">
        <f t="shared" si="5"/>
        <v>2</v>
      </c>
      <c r="AD56" s="9">
        <f>AC56/AC78*100</f>
        <v>0.44843049327354262</v>
      </c>
      <c r="AE56" s="6"/>
      <c r="AF56" s="10">
        <f>1+1</f>
        <v>2</v>
      </c>
      <c r="AG56" s="10"/>
      <c r="AH56" s="11">
        <f>SUM(AF56:AG56)</f>
        <v>2</v>
      </c>
      <c r="AI56" s="10"/>
      <c r="AJ56" s="10"/>
      <c r="AK56" s="10"/>
      <c r="AL56" s="10"/>
      <c r="AM56" s="10"/>
      <c r="AN56" s="10"/>
      <c r="AO56" s="10"/>
      <c r="AP56" s="10">
        <f>1+1</f>
        <v>2</v>
      </c>
      <c r="AQ56" s="10"/>
      <c r="AR56" s="10"/>
      <c r="AS56" s="10"/>
      <c r="AT56" s="11">
        <f>SUM(AI56:AS56)</f>
        <v>2</v>
      </c>
    </row>
    <row r="57" spans="16:46" ht="50.25" customHeight="1" x14ac:dyDescent="0.25">
      <c r="P57" s="109" t="s">
        <v>129</v>
      </c>
      <c r="Q57" s="8">
        <f>1+1+1+1+1+1</f>
        <v>6</v>
      </c>
      <c r="R57" s="25">
        <f>1+1+1+1</f>
        <v>4</v>
      </c>
      <c r="S57" s="8">
        <f>2+1+4+2+1+1</f>
        <v>11</v>
      </c>
      <c r="T57" s="25"/>
      <c r="U57" s="25"/>
      <c r="V57" s="25"/>
      <c r="W57" s="25"/>
      <c r="X57" s="25"/>
      <c r="Y57" s="37"/>
      <c r="Z57" s="37"/>
      <c r="AA57" s="37"/>
      <c r="AB57" s="25"/>
      <c r="AC57" s="25">
        <f t="shared" si="5"/>
        <v>21</v>
      </c>
      <c r="AD57" s="9">
        <f>AC57/AC78*100</f>
        <v>4.7085201793721971</v>
      </c>
      <c r="AE57" s="6"/>
      <c r="AF57" s="10">
        <f>1+1+1+1+1+1+2+1+1</f>
        <v>10</v>
      </c>
      <c r="AG57" s="10"/>
      <c r="AH57" s="11">
        <f t="shared" si="1"/>
        <v>10</v>
      </c>
      <c r="AI57" s="10"/>
      <c r="AJ57" s="10"/>
      <c r="AK57" s="10"/>
      <c r="AL57" s="10"/>
      <c r="AM57" s="10"/>
      <c r="AN57" s="10"/>
      <c r="AO57" s="10"/>
      <c r="AP57" s="10">
        <f>1+1+1+1+1+1+2+1+1</f>
        <v>10</v>
      </c>
      <c r="AQ57" s="10"/>
      <c r="AR57" s="10"/>
      <c r="AS57" s="10"/>
      <c r="AT57" s="11">
        <f t="shared" si="2"/>
        <v>10</v>
      </c>
    </row>
    <row r="58" spans="16:46" ht="27.75" customHeight="1" x14ac:dyDescent="0.25">
      <c r="P58" s="109" t="s">
        <v>152</v>
      </c>
      <c r="Q58" s="8"/>
      <c r="R58" s="25">
        <f>1+2</f>
        <v>3</v>
      </c>
      <c r="S58" s="8"/>
      <c r="T58" s="25"/>
      <c r="U58" s="25"/>
      <c r="V58" s="25"/>
      <c r="W58" s="25"/>
      <c r="X58" s="25"/>
      <c r="Y58" s="8"/>
      <c r="Z58" s="8"/>
      <c r="AA58" s="8"/>
      <c r="AB58" s="8"/>
      <c r="AC58" s="8">
        <f t="shared" si="5"/>
        <v>3</v>
      </c>
      <c r="AD58" s="9">
        <f>AC58/AC78*100</f>
        <v>0.67264573991031396</v>
      </c>
      <c r="AE58" s="6"/>
      <c r="AF58" s="10">
        <v>0</v>
      </c>
      <c r="AG58" s="10"/>
      <c r="AH58" s="11">
        <f t="shared" si="1"/>
        <v>0</v>
      </c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1">
        <f t="shared" si="2"/>
        <v>0</v>
      </c>
    </row>
    <row r="59" spans="16:46" ht="35.25" customHeight="1" x14ac:dyDescent="0.25">
      <c r="P59" s="109" t="s">
        <v>153</v>
      </c>
      <c r="Q59" s="8">
        <f>1+1+1+3+1+3+3+2+1+1+1+1+2+1+8</f>
        <v>30</v>
      </c>
      <c r="R59" s="25">
        <f>2+1+2+3+1+1+1+1+1+1+1+3+1+1+1</f>
        <v>21</v>
      </c>
      <c r="S59" s="8">
        <f>1+1+1+1+1+1+2+1+1+1+1+2+2+1+2+2+4+1+1+1+1+1+1+1+1+1</f>
        <v>34</v>
      </c>
      <c r="T59" s="25"/>
      <c r="U59" s="25"/>
      <c r="V59" s="25"/>
      <c r="W59" s="25"/>
      <c r="X59" s="25"/>
      <c r="Y59" s="25"/>
      <c r="Z59" s="25"/>
      <c r="AA59" s="25"/>
      <c r="AB59" s="25"/>
      <c r="AC59" s="8">
        <f t="shared" si="5"/>
        <v>85</v>
      </c>
      <c r="AD59" s="9">
        <f>AC59/AC78*100</f>
        <v>19.058295964125559</v>
      </c>
      <c r="AE59" s="6"/>
      <c r="AF59" s="10">
        <f>1+1+1+1+1+1+1+2+2+2+2+1+1+1+1+2+1+8+1+2+1+1+1+1</f>
        <v>37</v>
      </c>
      <c r="AG59" s="10">
        <f>1+1+1+1+1</f>
        <v>5</v>
      </c>
      <c r="AH59" s="11">
        <f t="shared" si="1"/>
        <v>42</v>
      </c>
      <c r="AI59" s="10"/>
      <c r="AJ59" s="10"/>
      <c r="AK59" s="10"/>
      <c r="AL59" s="10"/>
      <c r="AM59" s="10">
        <f>1</f>
        <v>1</v>
      </c>
      <c r="AN59" s="10"/>
      <c r="AO59" s="10">
        <f>1+2</f>
        <v>3</v>
      </c>
      <c r="AP59" s="10">
        <f>1+1+1+1+1+1+2+1+2+2+1+2+2+1+5+1+1+1+1+1+1</f>
        <v>30</v>
      </c>
      <c r="AQ59" s="10"/>
      <c r="AR59" s="10">
        <f>1+2+1+1+3</f>
        <v>8</v>
      </c>
      <c r="AS59" s="10"/>
      <c r="AT59" s="11">
        <f t="shared" si="2"/>
        <v>42</v>
      </c>
    </row>
    <row r="60" spans="16:46" ht="90.75" customHeight="1" x14ac:dyDescent="0.25">
      <c r="P60" s="109" t="s">
        <v>131</v>
      </c>
      <c r="Q60" s="8">
        <f>1+1</f>
        <v>2</v>
      </c>
      <c r="R60" s="25">
        <f>1</f>
        <v>1</v>
      </c>
      <c r="S60" s="8">
        <f>2+1+1</f>
        <v>4</v>
      </c>
      <c r="T60" s="25"/>
      <c r="U60" s="25"/>
      <c r="V60" s="25"/>
      <c r="W60" s="25"/>
      <c r="X60" s="25"/>
      <c r="Y60" s="25"/>
      <c r="Z60" s="25"/>
      <c r="AA60" s="25"/>
      <c r="AB60" s="25"/>
      <c r="AC60" s="8">
        <f t="shared" si="5"/>
        <v>7</v>
      </c>
      <c r="AD60" s="9">
        <f>AC60/AC78*100</f>
        <v>1.5695067264573992</v>
      </c>
      <c r="AE60" s="6"/>
      <c r="AF60" s="10">
        <f>2+1+1+1+1</f>
        <v>6</v>
      </c>
      <c r="AG60" s="10"/>
      <c r="AH60" s="11">
        <f t="shared" si="1"/>
        <v>6</v>
      </c>
      <c r="AI60" s="10"/>
      <c r="AJ60" s="10"/>
      <c r="AK60" s="10"/>
      <c r="AL60" s="10"/>
      <c r="AM60" s="10"/>
      <c r="AN60" s="10"/>
      <c r="AO60" s="10">
        <f>1+1</f>
        <v>2</v>
      </c>
      <c r="AP60" s="10">
        <f>1+1</f>
        <v>2</v>
      </c>
      <c r="AQ60" s="10"/>
      <c r="AR60" s="10">
        <f>2</f>
        <v>2</v>
      </c>
      <c r="AS60" s="10"/>
      <c r="AT60" s="11">
        <f t="shared" si="2"/>
        <v>6</v>
      </c>
    </row>
    <row r="61" spans="16:46" ht="24" customHeight="1" x14ac:dyDescent="0.25">
      <c r="P61" s="109" t="s">
        <v>154</v>
      </c>
      <c r="Q61" s="8"/>
      <c r="R61" s="25"/>
      <c r="S61" s="8">
        <f>1</f>
        <v>1</v>
      </c>
      <c r="T61" s="25"/>
      <c r="U61" s="25"/>
      <c r="V61" s="25"/>
      <c r="W61" s="25"/>
      <c r="X61" s="25"/>
      <c r="Y61" s="25"/>
      <c r="Z61" s="25"/>
      <c r="AA61" s="25"/>
      <c r="AB61" s="25"/>
      <c r="AC61" s="8">
        <f t="shared" si="5"/>
        <v>1</v>
      </c>
      <c r="AD61" s="9">
        <f>AC61/AC78*100</f>
        <v>0.22421524663677131</v>
      </c>
      <c r="AE61" s="6"/>
      <c r="AF61" s="10">
        <f>1</f>
        <v>1</v>
      </c>
      <c r="AG61" s="10"/>
      <c r="AH61" s="11">
        <f t="shared" si="1"/>
        <v>1</v>
      </c>
      <c r="AI61" s="10"/>
      <c r="AJ61" s="10"/>
      <c r="AK61" s="10"/>
      <c r="AL61" s="10"/>
      <c r="AM61" s="10"/>
      <c r="AN61" s="10"/>
      <c r="AO61" s="10"/>
      <c r="AP61" s="10">
        <f>1</f>
        <v>1</v>
      </c>
      <c r="AQ61" s="10"/>
      <c r="AR61" s="10"/>
      <c r="AS61" s="10"/>
      <c r="AT61" s="11">
        <f t="shared" si="2"/>
        <v>1</v>
      </c>
    </row>
    <row r="62" spans="16:46" ht="24.75" customHeight="1" x14ac:dyDescent="0.25">
      <c r="P62" s="109" t="s">
        <v>133</v>
      </c>
      <c r="Q62" s="8">
        <f>2</f>
        <v>2</v>
      </c>
      <c r="R62" s="25">
        <f>3</f>
        <v>3</v>
      </c>
      <c r="S62" s="8">
        <f>2+3</f>
        <v>5</v>
      </c>
      <c r="T62" s="25"/>
      <c r="U62" s="25"/>
      <c r="V62" s="25"/>
      <c r="W62" s="25"/>
      <c r="X62" s="25"/>
      <c r="Y62" s="25"/>
      <c r="Z62" s="25"/>
      <c r="AA62" s="25"/>
      <c r="AB62" s="25"/>
      <c r="AC62" s="8">
        <f t="shared" si="5"/>
        <v>10</v>
      </c>
      <c r="AD62" s="9">
        <f>AC62/AC78*100</f>
        <v>2.2421524663677128</v>
      </c>
      <c r="AE62" s="6"/>
      <c r="AF62" s="10">
        <f>2+2+3</f>
        <v>7</v>
      </c>
      <c r="AG62" s="10"/>
      <c r="AH62" s="11">
        <f>SUM(AF62:AG62)</f>
        <v>7</v>
      </c>
      <c r="AI62" s="10"/>
      <c r="AJ62" s="10"/>
      <c r="AK62" s="10"/>
      <c r="AL62" s="10"/>
      <c r="AM62" s="10"/>
      <c r="AN62" s="10"/>
      <c r="AO62" s="10">
        <f>1</f>
        <v>1</v>
      </c>
      <c r="AP62" s="10">
        <f>1+1+1+3</f>
        <v>6</v>
      </c>
      <c r="AQ62" s="10"/>
      <c r="AR62" s="10"/>
      <c r="AS62" s="10"/>
      <c r="AT62" s="11">
        <f>SUM(AI62:AS62)</f>
        <v>7</v>
      </c>
    </row>
    <row r="63" spans="16:46" ht="28.5" customHeight="1" x14ac:dyDescent="0.25">
      <c r="P63" s="109" t="s">
        <v>134</v>
      </c>
      <c r="Q63" s="8">
        <f>1+1</f>
        <v>2</v>
      </c>
      <c r="R63" s="25">
        <f>1+1+1+1</f>
        <v>4</v>
      </c>
      <c r="S63" s="8">
        <f>2+1+1+1+1</f>
        <v>6</v>
      </c>
      <c r="T63" s="25"/>
      <c r="U63" s="25"/>
      <c r="V63" s="25"/>
      <c r="W63" s="25"/>
      <c r="X63" s="25"/>
      <c r="Y63" s="25"/>
      <c r="Z63" s="25"/>
      <c r="AA63" s="25"/>
      <c r="AB63" s="25"/>
      <c r="AC63" s="8">
        <f t="shared" si="5"/>
        <v>12</v>
      </c>
      <c r="AD63" s="9">
        <f>AC63/AC78*100</f>
        <v>2.6905829596412558</v>
      </c>
      <c r="AE63" s="6"/>
      <c r="AF63" s="10">
        <f>1+1+1+1+2+1</f>
        <v>7</v>
      </c>
      <c r="AG63" s="10">
        <f>1</f>
        <v>1</v>
      </c>
      <c r="AH63" s="11">
        <f t="shared" si="1"/>
        <v>8</v>
      </c>
      <c r="AI63" s="10"/>
      <c r="AJ63" s="10"/>
      <c r="AK63" s="10"/>
      <c r="AL63" s="10"/>
      <c r="AM63" s="10"/>
      <c r="AN63" s="10">
        <f>1</f>
        <v>1</v>
      </c>
      <c r="AO63" s="10"/>
      <c r="AP63" s="10">
        <f>1+1+1+2+1</f>
        <v>6</v>
      </c>
      <c r="AQ63" s="10"/>
      <c r="AR63" s="10">
        <f>1</f>
        <v>1</v>
      </c>
      <c r="AS63" s="10"/>
      <c r="AT63" s="11">
        <f t="shared" si="2"/>
        <v>8</v>
      </c>
    </row>
    <row r="64" spans="16:46" ht="0.75" hidden="1" customHeight="1" x14ac:dyDescent="0.25">
      <c r="P64" s="109" t="s">
        <v>107</v>
      </c>
      <c r="Q64" s="8"/>
      <c r="R64" s="25"/>
      <c r="S64" s="8"/>
      <c r="T64" s="25"/>
      <c r="U64" s="25"/>
      <c r="V64" s="25"/>
      <c r="W64" s="25"/>
      <c r="X64" s="25"/>
      <c r="Y64" s="25"/>
      <c r="Z64" s="25"/>
      <c r="AA64" s="25"/>
      <c r="AB64" s="25"/>
      <c r="AC64" s="8">
        <f t="shared" si="5"/>
        <v>0</v>
      </c>
      <c r="AD64" s="9">
        <f>AC64/AC78*100</f>
        <v>0</v>
      </c>
      <c r="AE64" s="6"/>
      <c r="AF64" s="10"/>
      <c r="AG64" s="10"/>
      <c r="AH64" s="11">
        <f t="shared" si="1"/>
        <v>0</v>
      </c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1">
        <f t="shared" si="2"/>
        <v>0</v>
      </c>
    </row>
    <row r="65" spans="16:48" ht="2.25" hidden="1" customHeight="1" x14ac:dyDescent="0.25">
      <c r="P65" s="109" t="s">
        <v>155</v>
      </c>
      <c r="Q65" s="8"/>
      <c r="R65" s="25"/>
      <c r="S65" s="8"/>
      <c r="T65" s="25"/>
      <c r="U65" s="25"/>
      <c r="V65" s="25"/>
      <c r="W65" s="25"/>
      <c r="X65" s="25"/>
      <c r="Y65" s="25"/>
      <c r="Z65" s="25"/>
      <c r="AA65" s="25"/>
      <c r="AB65" s="25"/>
      <c r="AC65" s="8">
        <f t="shared" si="5"/>
        <v>0</v>
      </c>
      <c r="AD65" s="9">
        <f>AC65/AC78*100</f>
        <v>0</v>
      </c>
      <c r="AE65" s="6"/>
      <c r="AF65" s="10"/>
      <c r="AG65" s="10"/>
      <c r="AH65" s="11">
        <f t="shared" si="1"/>
        <v>0</v>
      </c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1">
        <f t="shared" si="2"/>
        <v>0</v>
      </c>
    </row>
    <row r="66" spans="16:48" ht="53.25" customHeight="1" x14ac:dyDescent="0.25">
      <c r="P66" s="109" t="s">
        <v>136</v>
      </c>
      <c r="Q66" s="8"/>
      <c r="R66" s="25">
        <f>2+2</f>
        <v>4</v>
      </c>
      <c r="S66" s="8">
        <f>2+3</f>
        <v>5</v>
      </c>
      <c r="T66" s="25"/>
      <c r="U66" s="25"/>
      <c r="V66" s="25"/>
      <c r="W66" s="25"/>
      <c r="X66" s="25"/>
      <c r="Y66" s="25"/>
      <c r="Z66" s="25"/>
      <c r="AA66" s="25"/>
      <c r="AB66" s="25"/>
      <c r="AC66" s="8">
        <f t="shared" si="5"/>
        <v>9</v>
      </c>
      <c r="AD66" s="9">
        <f>AC66/AC78*100</f>
        <v>2.0179372197309418</v>
      </c>
      <c r="AE66" s="6"/>
      <c r="AF66" s="10">
        <f>2+3</f>
        <v>5</v>
      </c>
      <c r="AG66" s="10"/>
      <c r="AH66" s="11">
        <f t="shared" si="1"/>
        <v>5</v>
      </c>
      <c r="AI66" s="10"/>
      <c r="AJ66" s="10"/>
      <c r="AK66" s="10"/>
      <c r="AL66" s="10"/>
      <c r="AM66" s="10"/>
      <c r="AN66" s="10"/>
      <c r="AO66" s="10"/>
      <c r="AP66" s="10">
        <f>2+3</f>
        <v>5</v>
      </c>
      <c r="AQ66" s="10"/>
      <c r="AR66" s="10"/>
      <c r="AS66" s="10"/>
      <c r="AT66" s="11">
        <f t="shared" si="2"/>
        <v>5</v>
      </c>
    </row>
    <row r="67" spans="16:48" ht="42" customHeight="1" x14ac:dyDescent="0.25">
      <c r="P67" s="109" t="s">
        <v>112</v>
      </c>
      <c r="Q67" s="8"/>
      <c r="R67" s="25"/>
      <c r="S67" s="8">
        <f>5</f>
        <v>5</v>
      </c>
      <c r="T67" s="25"/>
      <c r="U67" s="25"/>
      <c r="V67" s="25"/>
      <c r="W67" s="25"/>
      <c r="X67" s="25"/>
      <c r="Y67" s="25"/>
      <c r="Z67" s="25"/>
      <c r="AA67" s="25"/>
      <c r="AB67" s="25"/>
      <c r="AC67" s="8">
        <f t="shared" si="5"/>
        <v>5</v>
      </c>
      <c r="AD67" s="9">
        <f>AC67/AC78*100</f>
        <v>1.1210762331838564</v>
      </c>
      <c r="AE67" s="6"/>
      <c r="AF67" s="10">
        <f>4</f>
        <v>4</v>
      </c>
      <c r="AG67" s="10">
        <f>1</f>
        <v>1</v>
      </c>
      <c r="AH67" s="11">
        <f t="shared" si="1"/>
        <v>5</v>
      </c>
      <c r="AI67" s="10"/>
      <c r="AJ67" s="10"/>
      <c r="AK67" s="10"/>
      <c r="AL67" s="10"/>
      <c r="AM67" s="10"/>
      <c r="AN67" s="10"/>
      <c r="AO67" s="10">
        <f>1</f>
        <v>1</v>
      </c>
      <c r="AP67" s="10">
        <f>3</f>
        <v>3</v>
      </c>
      <c r="AQ67" s="10"/>
      <c r="AR67" s="10">
        <f>1</f>
        <v>1</v>
      </c>
      <c r="AS67" s="10"/>
      <c r="AT67" s="11">
        <f t="shared" si="2"/>
        <v>5</v>
      </c>
    </row>
    <row r="68" spans="16:48" ht="48" hidden="1" customHeight="1" x14ac:dyDescent="0.25">
      <c r="P68" s="109" t="s">
        <v>185</v>
      </c>
      <c r="Q68" s="8"/>
      <c r="R68" s="25"/>
      <c r="S68" s="8"/>
      <c r="T68" s="25"/>
      <c r="U68" s="25"/>
      <c r="V68" s="25"/>
      <c r="W68" s="25"/>
      <c r="X68" s="25"/>
      <c r="Y68" s="25"/>
      <c r="Z68" s="25"/>
      <c r="AA68" s="25"/>
      <c r="AB68" s="25"/>
      <c r="AC68" s="8">
        <f t="shared" si="5"/>
        <v>0</v>
      </c>
      <c r="AD68" s="9">
        <f>AC68/AC78*100</f>
        <v>0</v>
      </c>
      <c r="AE68" s="6"/>
      <c r="AF68" s="10"/>
      <c r="AG68" s="10"/>
      <c r="AH68" s="11">
        <f t="shared" si="1"/>
        <v>0</v>
      </c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1">
        <f t="shared" si="2"/>
        <v>0</v>
      </c>
    </row>
    <row r="69" spans="16:48" ht="18" hidden="1" customHeight="1" x14ac:dyDescent="0.25">
      <c r="P69" s="109" t="s">
        <v>156</v>
      </c>
      <c r="Q69" s="8"/>
      <c r="R69" s="25"/>
      <c r="S69" s="8"/>
      <c r="T69" s="25"/>
      <c r="U69" s="25"/>
      <c r="V69" s="25"/>
      <c r="W69" s="25"/>
      <c r="X69" s="25"/>
      <c r="Y69" s="25"/>
      <c r="Z69" s="25"/>
      <c r="AA69" s="25"/>
      <c r="AB69" s="25"/>
      <c r="AC69" s="8">
        <f t="shared" si="5"/>
        <v>0</v>
      </c>
      <c r="AD69" s="9">
        <f>AC69/AC78*100</f>
        <v>0</v>
      </c>
      <c r="AE69" s="6"/>
      <c r="AF69" s="10"/>
      <c r="AG69" s="10"/>
      <c r="AH69" s="11">
        <f t="shared" si="1"/>
        <v>0</v>
      </c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1">
        <f t="shared" si="2"/>
        <v>0</v>
      </c>
    </row>
    <row r="70" spans="16:48" ht="24" customHeight="1" x14ac:dyDescent="0.25">
      <c r="P70" s="109" t="s">
        <v>157</v>
      </c>
      <c r="Q70" s="8"/>
      <c r="R70" s="25"/>
      <c r="S70" s="8">
        <f>1+3</f>
        <v>4</v>
      </c>
      <c r="T70" s="25"/>
      <c r="U70" s="25"/>
      <c r="V70" s="25"/>
      <c r="W70" s="25"/>
      <c r="X70" s="25"/>
      <c r="Y70" s="25"/>
      <c r="Z70" s="25"/>
      <c r="AA70" s="25"/>
      <c r="AB70" s="25"/>
      <c r="AC70" s="8">
        <f t="shared" si="5"/>
        <v>4</v>
      </c>
      <c r="AD70" s="9">
        <f>AC70/AC78*100</f>
        <v>0.89686098654708524</v>
      </c>
      <c r="AE70" s="6"/>
      <c r="AF70" s="10">
        <f>1</f>
        <v>1</v>
      </c>
      <c r="AG70" s="10"/>
      <c r="AH70" s="11">
        <f t="shared" si="1"/>
        <v>1</v>
      </c>
      <c r="AI70" s="10"/>
      <c r="AJ70" s="10"/>
      <c r="AK70" s="10"/>
      <c r="AL70" s="10"/>
      <c r="AM70" s="10"/>
      <c r="AN70" s="10"/>
      <c r="AO70" s="10"/>
      <c r="AP70" s="10">
        <f>1</f>
        <v>1</v>
      </c>
      <c r="AQ70" s="10"/>
      <c r="AR70" s="10"/>
      <c r="AS70" s="10"/>
      <c r="AT70" s="11">
        <f t="shared" si="2"/>
        <v>1</v>
      </c>
    </row>
    <row r="71" spans="16:48" ht="27" customHeight="1" x14ac:dyDescent="0.25">
      <c r="P71" s="109" t="s">
        <v>139</v>
      </c>
      <c r="Q71" s="8">
        <f>1+1+1+1+1+2+2+1+1+1+1+1</f>
        <v>14</v>
      </c>
      <c r="R71" s="25">
        <f>1+1+1+1+2+1+3+1</f>
        <v>11</v>
      </c>
      <c r="S71" s="8">
        <f>1+1+1+2+1+1+1+1+1+1+2+1+1+1+1+1+1+1+2</f>
        <v>22</v>
      </c>
      <c r="T71" s="25"/>
      <c r="U71" s="25"/>
      <c r="V71" s="25"/>
      <c r="W71" s="25"/>
      <c r="X71" s="25"/>
      <c r="Y71" s="25"/>
      <c r="Z71" s="25"/>
      <c r="AA71" s="25"/>
      <c r="AB71" s="25"/>
      <c r="AC71" s="8">
        <f t="shared" si="5"/>
        <v>47</v>
      </c>
      <c r="AD71" s="9">
        <f>AC71/AC78*100</f>
        <v>10.538116591928251</v>
      </c>
      <c r="AE71" s="6"/>
      <c r="AF71" s="10">
        <f>1+1+1+1+1+1+1+2+1+1+1+1+1+2+1+1+1+1+1+1+1</f>
        <v>23</v>
      </c>
      <c r="AG71" s="10"/>
      <c r="AH71" s="11">
        <f t="shared" si="1"/>
        <v>23</v>
      </c>
      <c r="AI71" s="10"/>
      <c r="AJ71" s="10"/>
      <c r="AK71" s="10"/>
      <c r="AL71" s="10"/>
      <c r="AM71" s="10"/>
      <c r="AN71" s="10"/>
      <c r="AO71" s="10">
        <f>1</f>
        <v>1</v>
      </c>
      <c r="AP71" s="10">
        <f>1+1+1+1+1+1+2+1+1+1+1+1+2+1+1+1+1+1</f>
        <v>20</v>
      </c>
      <c r="AQ71" s="10">
        <f>1+1</f>
        <v>2</v>
      </c>
      <c r="AR71" s="10"/>
      <c r="AS71" s="10"/>
      <c r="AT71" s="11">
        <f t="shared" si="2"/>
        <v>23</v>
      </c>
    </row>
    <row r="72" spans="16:48" ht="24.75" customHeight="1" x14ac:dyDescent="0.25">
      <c r="P72" s="109" t="s">
        <v>144</v>
      </c>
      <c r="Q72" s="8">
        <f>1</f>
        <v>1</v>
      </c>
      <c r="R72" s="25"/>
      <c r="S72" s="8"/>
      <c r="T72" s="25"/>
      <c r="U72" s="25"/>
      <c r="V72" s="25"/>
      <c r="W72" s="25"/>
      <c r="X72" s="25"/>
      <c r="Y72" s="25"/>
      <c r="Z72" s="25"/>
      <c r="AA72" s="25"/>
      <c r="AB72" s="25"/>
      <c r="AC72" s="8">
        <f t="shared" si="5"/>
        <v>1</v>
      </c>
      <c r="AD72" s="9">
        <f>AC72/AC78*100</f>
        <v>0.22421524663677131</v>
      </c>
      <c r="AE72" s="6"/>
      <c r="AF72" s="10">
        <f>1</f>
        <v>1</v>
      </c>
      <c r="AG72" s="10"/>
      <c r="AH72" s="11">
        <f>SUM(AF72:AG72)</f>
        <v>1</v>
      </c>
      <c r="AI72" s="10"/>
      <c r="AJ72" s="10"/>
      <c r="AK72" s="10"/>
      <c r="AL72" s="10"/>
      <c r="AM72" s="10"/>
      <c r="AN72" s="10"/>
      <c r="AO72" s="10"/>
      <c r="AP72" s="10">
        <f>1</f>
        <v>1</v>
      </c>
      <c r="AQ72" s="59"/>
      <c r="AR72" s="10"/>
      <c r="AS72" s="10"/>
      <c r="AT72" s="11">
        <f>SUM(AI72:AS72)</f>
        <v>1</v>
      </c>
    </row>
    <row r="73" spans="16:48" ht="43.5" customHeight="1" x14ac:dyDescent="0.25">
      <c r="P73" s="109" t="s">
        <v>145</v>
      </c>
      <c r="Q73" s="8">
        <f>1+1+1+2</f>
        <v>5</v>
      </c>
      <c r="R73" s="25">
        <f>1+1+2+1+1+1</f>
        <v>7</v>
      </c>
      <c r="S73" s="8">
        <f>1+1+1+1+1</f>
        <v>5</v>
      </c>
      <c r="T73" s="25"/>
      <c r="U73" s="25"/>
      <c r="V73" s="25"/>
      <c r="W73" s="25"/>
      <c r="X73" s="25"/>
      <c r="Y73" s="25"/>
      <c r="Z73" s="25"/>
      <c r="AA73" s="25"/>
      <c r="AB73" s="25"/>
      <c r="AC73" s="8">
        <f t="shared" si="5"/>
        <v>17</v>
      </c>
      <c r="AD73" s="9">
        <f>AC73/AC78*100</f>
        <v>3.811659192825112</v>
      </c>
      <c r="AE73" s="6"/>
      <c r="AF73" s="10">
        <f>1+1+1+1+1+1+1</f>
        <v>7</v>
      </c>
      <c r="AG73" s="10">
        <f>1</f>
        <v>1</v>
      </c>
      <c r="AH73" s="11">
        <f t="shared" ref="AH73:AH135" si="6">AF73+AG73</f>
        <v>8</v>
      </c>
      <c r="AI73" s="10"/>
      <c r="AJ73" s="10"/>
      <c r="AK73" s="10"/>
      <c r="AL73" s="10"/>
      <c r="AM73" s="10">
        <f>1</f>
        <v>1</v>
      </c>
      <c r="AN73" s="10">
        <f>1</f>
        <v>1</v>
      </c>
      <c r="AO73" s="10"/>
      <c r="AP73" s="10">
        <f>1+1+1+1+1+1</f>
        <v>6</v>
      </c>
      <c r="AQ73" s="10"/>
      <c r="AR73" s="10"/>
      <c r="AS73" s="10"/>
      <c r="AT73" s="11">
        <f t="shared" ref="AT73:AT135" si="7">AS73+AR73+AQ73+AP73+AO73+AN73+AM73+AL73+AK73+AJ73+AI73</f>
        <v>8</v>
      </c>
    </row>
    <row r="74" spans="16:48" ht="50.1" hidden="1" customHeight="1" x14ac:dyDescent="0.25">
      <c r="P74" s="109" t="s">
        <v>159</v>
      </c>
      <c r="Q74" s="8"/>
      <c r="R74" s="25"/>
      <c r="S74" s="8"/>
      <c r="T74" s="25"/>
      <c r="U74" s="25"/>
      <c r="V74" s="25"/>
      <c r="W74" s="25"/>
      <c r="X74" s="25"/>
      <c r="Y74" s="25"/>
      <c r="Z74" s="25"/>
      <c r="AA74" s="25"/>
      <c r="AB74" s="25"/>
      <c r="AC74" s="8">
        <f t="shared" si="5"/>
        <v>0</v>
      </c>
      <c r="AD74" s="9">
        <f>AC74/AC78*100</f>
        <v>0</v>
      </c>
      <c r="AE74" s="6"/>
      <c r="AF74" s="10"/>
      <c r="AG74" s="10"/>
      <c r="AH74" s="11">
        <f t="shared" si="6"/>
        <v>0</v>
      </c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1">
        <f t="shared" si="7"/>
        <v>0</v>
      </c>
    </row>
    <row r="75" spans="16:48" ht="34.5" customHeight="1" x14ac:dyDescent="0.25">
      <c r="P75" s="109" t="s">
        <v>158</v>
      </c>
      <c r="Q75" s="8">
        <f>1+2+2</f>
        <v>5</v>
      </c>
      <c r="R75" s="25">
        <f>1+1+1+2+1</f>
        <v>6</v>
      </c>
      <c r="S75" s="8">
        <f>1+1+1+1</f>
        <v>4</v>
      </c>
      <c r="T75" s="25"/>
      <c r="U75" s="25"/>
      <c r="V75" s="25"/>
      <c r="W75" s="25"/>
      <c r="X75" s="25"/>
      <c r="Y75" s="25"/>
      <c r="Z75" s="25"/>
      <c r="AA75" s="25"/>
      <c r="AB75" s="25"/>
      <c r="AC75" s="8">
        <f t="shared" si="5"/>
        <v>15</v>
      </c>
      <c r="AD75" s="9">
        <f>AC75/AC78*100</f>
        <v>3.3632286995515694</v>
      </c>
      <c r="AE75" s="6"/>
      <c r="AF75" s="10">
        <f>1+1+1+1+1+1+1</f>
        <v>7</v>
      </c>
      <c r="AG75" s="10">
        <f>1</f>
        <v>1</v>
      </c>
      <c r="AH75" s="11">
        <f>AG75+AF75</f>
        <v>8</v>
      </c>
      <c r="AI75" s="10"/>
      <c r="AJ75" s="10"/>
      <c r="AK75" s="10"/>
      <c r="AL75" s="10"/>
      <c r="AM75" s="10"/>
      <c r="AN75" s="10"/>
      <c r="AO75" s="10">
        <f>1</f>
        <v>1</v>
      </c>
      <c r="AP75" s="10">
        <f>1+1+2+1</f>
        <v>5</v>
      </c>
      <c r="AQ75" s="10">
        <f>1+1</f>
        <v>2</v>
      </c>
      <c r="AR75" s="10"/>
      <c r="AS75" s="10"/>
      <c r="AT75" s="11">
        <f t="shared" si="7"/>
        <v>8</v>
      </c>
    </row>
    <row r="76" spans="16:48" ht="54" customHeight="1" x14ac:dyDescent="0.25">
      <c r="P76" s="109" t="s">
        <v>148</v>
      </c>
      <c r="Q76" s="8">
        <f>1+3+2+2+1+1+1+1+1</f>
        <v>13</v>
      </c>
      <c r="R76" s="25">
        <f>2+1+1+1+1+1+1+1+1+2+1+1+3+1+1</f>
        <v>19</v>
      </c>
      <c r="S76" s="8">
        <f>1+1+5+1+1+1+1+1+1+1+2+1+1+1+2+1+4+1+1+1+1+1+1+1+1+1</f>
        <v>35</v>
      </c>
      <c r="T76" s="25"/>
      <c r="U76" s="25"/>
      <c r="V76" s="25"/>
      <c r="W76" s="25"/>
      <c r="X76" s="25"/>
      <c r="Y76" s="25"/>
      <c r="Z76" s="25"/>
      <c r="AA76" s="25"/>
      <c r="AB76" s="25"/>
      <c r="AC76" s="8">
        <f t="shared" si="5"/>
        <v>67</v>
      </c>
      <c r="AD76" s="9">
        <f>AC76/AC78*100</f>
        <v>15.022421524663676</v>
      </c>
      <c r="AE76" s="6"/>
      <c r="AF76" s="10">
        <f>2+1+1+1+3+1+1+1+1+1+1+1+1+1+1+1+1+1+1+1+3+1+2+1+1+4+2+1+1+1+1+1</f>
        <v>42</v>
      </c>
      <c r="AG76" s="10">
        <f>1+1</f>
        <v>2</v>
      </c>
      <c r="AH76" s="11">
        <f t="shared" si="6"/>
        <v>44</v>
      </c>
      <c r="AI76" s="10"/>
      <c r="AJ76" s="10"/>
      <c r="AK76" s="10"/>
      <c r="AL76" s="10">
        <v>1</v>
      </c>
      <c r="AM76" s="10">
        <f>1</f>
        <v>1</v>
      </c>
      <c r="AN76" s="10">
        <f>1</f>
        <v>1</v>
      </c>
      <c r="AO76" s="10">
        <f>1+1+1</f>
        <v>3</v>
      </c>
      <c r="AP76" s="10">
        <f>2+1+1+3+1+1+1+1+1+1+1+1+1+1+1+1+1+1+1+1+3+2+1+1+3+1+1+1+1+1</f>
        <v>38</v>
      </c>
      <c r="AQ76" s="10"/>
      <c r="AR76" s="10"/>
      <c r="AS76" s="10"/>
      <c r="AT76" s="11">
        <f t="shared" si="7"/>
        <v>44</v>
      </c>
    </row>
    <row r="77" spans="16:48" ht="12.75" hidden="1" customHeight="1" x14ac:dyDescent="0.25">
      <c r="P77" s="1" t="s">
        <v>53</v>
      </c>
      <c r="Q77" s="8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8">
        <f t="shared" si="5"/>
        <v>0</v>
      </c>
      <c r="AD77" s="9">
        <f>AC77/AC78*100</f>
        <v>0</v>
      </c>
      <c r="AE77" s="6"/>
      <c r="AF77" s="10"/>
      <c r="AG77" s="10"/>
      <c r="AH77" s="11">
        <f t="shared" si="6"/>
        <v>0</v>
      </c>
      <c r="AI77" s="10">
        <f>SUM(AH77)</f>
        <v>0</v>
      </c>
      <c r="AJ77" s="10">
        <f>SUM(AI77)</f>
        <v>0</v>
      </c>
      <c r="AK77" s="10"/>
      <c r="AL77" s="10"/>
      <c r="AM77" s="10"/>
      <c r="AN77" s="10"/>
      <c r="AO77" s="10"/>
      <c r="AP77" s="10"/>
      <c r="AQ77" s="10"/>
      <c r="AR77" s="10"/>
      <c r="AS77" s="10"/>
      <c r="AT77" s="11">
        <f t="shared" si="7"/>
        <v>0</v>
      </c>
    </row>
    <row r="78" spans="16:48" ht="19.5" customHeight="1" x14ac:dyDescent="0.25">
      <c r="P78" s="42" t="s">
        <v>19</v>
      </c>
      <c r="Q78" s="39">
        <f t="shared" ref="Q78:V78" si="8">SUM(Q45:Q77)</f>
        <v>123</v>
      </c>
      <c r="R78" s="39">
        <f>SUM(R45:R77)</f>
        <v>118</v>
      </c>
      <c r="S78" s="39">
        <f t="shared" si="8"/>
        <v>205</v>
      </c>
      <c r="T78" s="39">
        <f t="shared" si="8"/>
        <v>0</v>
      </c>
      <c r="U78" s="39">
        <f t="shared" si="8"/>
        <v>0</v>
      </c>
      <c r="V78" s="39">
        <f t="shared" si="8"/>
        <v>0</v>
      </c>
      <c r="W78" s="39">
        <f t="shared" ref="W78:AD78" si="9">SUM(W45:W77)</f>
        <v>0</v>
      </c>
      <c r="X78" s="39">
        <f t="shared" si="9"/>
        <v>0</v>
      </c>
      <c r="Y78" s="39">
        <f t="shared" si="9"/>
        <v>0</v>
      </c>
      <c r="Z78" s="39">
        <f t="shared" si="9"/>
        <v>0</v>
      </c>
      <c r="AA78" s="39">
        <f t="shared" si="9"/>
        <v>0</v>
      </c>
      <c r="AB78" s="39">
        <f t="shared" si="9"/>
        <v>0</v>
      </c>
      <c r="AC78" s="38">
        <f t="shared" si="9"/>
        <v>446</v>
      </c>
      <c r="AD78" s="40">
        <f t="shared" si="9"/>
        <v>100</v>
      </c>
      <c r="AE78" s="43"/>
      <c r="AF78" s="44">
        <f>SUM(AF45:AF77)</f>
        <v>264</v>
      </c>
      <c r="AG78" s="44">
        <f t="shared" ref="AG78:AT78" si="10">SUM(AG45:AG77)</f>
        <v>12</v>
      </c>
      <c r="AH78" s="45">
        <f t="shared" si="10"/>
        <v>276</v>
      </c>
      <c r="AI78" s="44">
        <f t="shared" si="10"/>
        <v>0</v>
      </c>
      <c r="AJ78" s="44">
        <f t="shared" si="10"/>
        <v>0</v>
      </c>
      <c r="AK78" s="44">
        <f t="shared" si="10"/>
        <v>0</v>
      </c>
      <c r="AL78" s="44">
        <f t="shared" si="10"/>
        <v>1</v>
      </c>
      <c r="AM78" s="44">
        <f t="shared" si="10"/>
        <v>3</v>
      </c>
      <c r="AN78" s="44">
        <f t="shared" si="10"/>
        <v>10</v>
      </c>
      <c r="AO78" s="44">
        <f t="shared" si="10"/>
        <v>17</v>
      </c>
      <c r="AP78" s="44">
        <f t="shared" si="10"/>
        <v>226</v>
      </c>
      <c r="AQ78" s="44">
        <f t="shared" si="10"/>
        <v>6</v>
      </c>
      <c r="AR78" s="44">
        <f t="shared" si="10"/>
        <v>13</v>
      </c>
      <c r="AS78" s="44">
        <f t="shared" si="10"/>
        <v>0</v>
      </c>
      <c r="AT78" s="45">
        <f t="shared" si="10"/>
        <v>276</v>
      </c>
      <c r="AV78" t="s">
        <v>20</v>
      </c>
    </row>
    <row r="79" spans="16:48" ht="14.25" customHeight="1" thickBot="1" x14ac:dyDescent="0.3"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6"/>
      <c r="AF79" s="15"/>
      <c r="AG79" s="15"/>
      <c r="AH79" s="16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6"/>
    </row>
    <row r="80" spans="16:48" ht="16.5" customHeight="1" x14ac:dyDescent="0.25">
      <c r="P80" s="197" t="s">
        <v>198</v>
      </c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9"/>
      <c r="AE80" s="6"/>
      <c r="AF80" s="218" t="s">
        <v>199</v>
      </c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20"/>
    </row>
    <row r="81" spans="16:49" ht="33" customHeight="1" thickBot="1" x14ac:dyDescent="0.3">
      <c r="P81" s="200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  <c r="AB81" s="201"/>
      <c r="AC81" s="201"/>
      <c r="AD81" s="202"/>
      <c r="AE81" s="6"/>
      <c r="AF81" s="221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3"/>
    </row>
    <row r="82" spans="16:49" ht="23.25" customHeight="1" thickBot="1" x14ac:dyDescent="0.3">
      <c r="P82" s="189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1"/>
      <c r="AE82" s="6"/>
      <c r="AF82" s="183" t="s">
        <v>51</v>
      </c>
      <c r="AG82" s="184"/>
      <c r="AH82" s="184"/>
      <c r="AI82" s="184" t="s">
        <v>52</v>
      </c>
      <c r="AJ82" s="184"/>
      <c r="AK82" s="184"/>
      <c r="AL82" s="184"/>
      <c r="AM82" s="184"/>
      <c r="AN82" s="184"/>
      <c r="AO82" s="184"/>
      <c r="AP82" s="184"/>
      <c r="AQ82" s="184"/>
      <c r="AR82" s="184"/>
      <c r="AS82" s="184"/>
      <c r="AT82" s="195"/>
    </row>
    <row r="83" spans="16:49" ht="49.5" customHeight="1" x14ac:dyDescent="0.25">
      <c r="P83" s="36" t="s">
        <v>96</v>
      </c>
      <c r="Q83" s="30" t="s">
        <v>22</v>
      </c>
      <c r="R83" s="30" t="s">
        <v>23</v>
      </c>
      <c r="S83" s="30" t="s">
        <v>24</v>
      </c>
      <c r="T83" s="30" t="s">
        <v>25</v>
      </c>
      <c r="U83" s="30" t="s">
        <v>26</v>
      </c>
      <c r="V83" s="30" t="s">
        <v>27</v>
      </c>
      <c r="W83" s="104" t="s">
        <v>28</v>
      </c>
      <c r="X83" s="30" t="s">
        <v>29</v>
      </c>
      <c r="Y83" s="30" t="s">
        <v>30</v>
      </c>
      <c r="Z83" s="30" t="s">
        <v>31</v>
      </c>
      <c r="AA83" s="30" t="s">
        <v>32</v>
      </c>
      <c r="AB83" s="30" t="s">
        <v>33</v>
      </c>
      <c r="AC83" s="30" t="s">
        <v>34</v>
      </c>
      <c r="AD83" s="31" t="s">
        <v>35</v>
      </c>
      <c r="AE83" s="6"/>
      <c r="AF83" s="32" t="s">
        <v>49</v>
      </c>
      <c r="AG83" s="32" t="s">
        <v>50</v>
      </c>
      <c r="AH83" s="33" t="s">
        <v>9</v>
      </c>
      <c r="AI83" s="34" t="s">
        <v>0</v>
      </c>
      <c r="AJ83" s="34" t="s">
        <v>1</v>
      </c>
      <c r="AK83" s="34" t="s">
        <v>2</v>
      </c>
      <c r="AL83" s="34" t="s">
        <v>3</v>
      </c>
      <c r="AM83" s="34" t="s">
        <v>4</v>
      </c>
      <c r="AN83" s="34" t="s">
        <v>5</v>
      </c>
      <c r="AO83" s="34" t="s">
        <v>6</v>
      </c>
      <c r="AP83" s="34" t="s">
        <v>8</v>
      </c>
      <c r="AQ83" s="34" t="s">
        <v>10</v>
      </c>
      <c r="AR83" s="34" t="s">
        <v>11</v>
      </c>
      <c r="AS83" s="34" t="s">
        <v>7</v>
      </c>
      <c r="AT83" s="35" t="s">
        <v>48</v>
      </c>
    </row>
    <row r="84" spans="16:49" ht="40.5" customHeight="1" x14ac:dyDescent="0.25">
      <c r="P84" s="110" t="s">
        <v>56</v>
      </c>
      <c r="Q84" s="25">
        <f>1+1</f>
        <v>2</v>
      </c>
      <c r="R84" s="25">
        <f>2+1+1+1+1</f>
        <v>6</v>
      </c>
      <c r="S84" s="25">
        <f>1+1+1+1</f>
        <v>4</v>
      </c>
      <c r="T84" s="25"/>
      <c r="U84" s="25"/>
      <c r="V84" s="25"/>
      <c r="W84" s="25"/>
      <c r="X84" s="25"/>
      <c r="Y84" s="25"/>
      <c r="Z84" s="25"/>
      <c r="AA84" s="25"/>
      <c r="AB84" s="25"/>
      <c r="AC84" s="25">
        <f>SUM(Q84:AB84)</f>
        <v>12</v>
      </c>
      <c r="AD84" s="20">
        <f>AC84/AC119*100</f>
        <v>4.3321299638989164</v>
      </c>
      <c r="AE84" s="6"/>
      <c r="AF84" s="17">
        <f>2+1+1+1+1+1+1</f>
        <v>8</v>
      </c>
      <c r="AG84" s="17"/>
      <c r="AH84" s="18">
        <f>SUM(AF84:AG84)</f>
        <v>8</v>
      </c>
      <c r="AI84" s="17"/>
      <c r="AJ84" s="17"/>
      <c r="AK84" s="17"/>
      <c r="AL84" s="17"/>
      <c r="AM84" s="17"/>
      <c r="AN84" s="17"/>
      <c r="AO84" s="17">
        <f>1</f>
        <v>1</v>
      </c>
      <c r="AP84" s="17">
        <f>2+1+1+1+1</f>
        <v>6</v>
      </c>
      <c r="AQ84" s="17"/>
      <c r="AR84" s="17">
        <f>1</f>
        <v>1</v>
      </c>
      <c r="AS84" s="17"/>
      <c r="AT84" s="18">
        <f>SUM(AI84:AS84)</f>
        <v>8</v>
      </c>
      <c r="AW84" t="s">
        <v>20</v>
      </c>
    </row>
    <row r="85" spans="16:49" ht="42" customHeight="1" x14ac:dyDescent="0.25">
      <c r="P85" s="110" t="s">
        <v>57</v>
      </c>
      <c r="Q85" s="25">
        <f>1+1+1+1</f>
        <v>4</v>
      </c>
      <c r="R85" s="25">
        <f>1+1+1+2+1+1</f>
        <v>7</v>
      </c>
      <c r="S85" s="25">
        <f>1+1+1+2+1+1+1+1+1+1+2</f>
        <v>13</v>
      </c>
      <c r="T85" s="25"/>
      <c r="U85" s="25"/>
      <c r="V85" s="25"/>
      <c r="W85" s="25"/>
      <c r="X85" s="25"/>
      <c r="Y85" s="25"/>
      <c r="Z85" s="25"/>
      <c r="AA85" s="25"/>
      <c r="AB85" s="25"/>
      <c r="AC85" s="25">
        <f t="shared" ref="AC85:AC118" si="11">SUM(Q85:AB85)</f>
        <v>24</v>
      </c>
      <c r="AD85" s="20">
        <f>AC85/AC119*100</f>
        <v>8.6642599277978327</v>
      </c>
      <c r="AE85" s="6"/>
      <c r="AF85" s="10">
        <f>1+1+1+1+2+1+1+2+1+1+1+1+1+1</f>
        <v>16</v>
      </c>
      <c r="AG85" s="10">
        <f>1</f>
        <v>1</v>
      </c>
      <c r="AH85" s="11">
        <f t="shared" si="6"/>
        <v>17</v>
      </c>
      <c r="AI85" s="10"/>
      <c r="AJ85" s="10"/>
      <c r="AK85" s="10"/>
      <c r="AL85" s="10"/>
      <c r="AM85" s="10"/>
      <c r="AN85" s="10">
        <f>1</f>
        <v>1</v>
      </c>
      <c r="AO85" s="10"/>
      <c r="AP85" s="10">
        <f>1+1+1+2+1+2+1+1+1+1</f>
        <v>12</v>
      </c>
      <c r="AQ85" s="10">
        <f>1+1</f>
        <v>2</v>
      </c>
      <c r="AR85" s="10">
        <f>1+1</f>
        <v>2</v>
      </c>
      <c r="AS85" s="10"/>
      <c r="AT85" s="11">
        <f t="shared" si="7"/>
        <v>17</v>
      </c>
    </row>
    <row r="86" spans="16:49" ht="58.5" customHeight="1" x14ac:dyDescent="0.25">
      <c r="P86" s="110" t="s">
        <v>58</v>
      </c>
      <c r="Q86" s="25">
        <f>1</f>
        <v>1</v>
      </c>
      <c r="R86" s="25"/>
      <c r="S86" s="25">
        <f>1+1+1</f>
        <v>3</v>
      </c>
      <c r="T86" s="25"/>
      <c r="U86" s="25"/>
      <c r="V86" s="25"/>
      <c r="W86" s="25"/>
      <c r="X86" s="25"/>
      <c r="Y86" s="25"/>
      <c r="Z86" s="25"/>
      <c r="AA86" s="25"/>
      <c r="AB86" s="25"/>
      <c r="AC86" s="25">
        <f t="shared" si="11"/>
        <v>4</v>
      </c>
      <c r="AD86" s="20">
        <f>AC86/AC119*100</f>
        <v>1.4440433212996391</v>
      </c>
      <c r="AE86" s="6"/>
      <c r="AF86" s="10">
        <f>1</f>
        <v>1</v>
      </c>
      <c r="AG86" s="10"/>
      <c r="AH86" s="11">
        <f t="shared" si="6"/>
        <v>1</v>
      </c>
      <c r="AI86" s="10"/>
      <c r="AJ86" s="10"/>
      <c r="AK86" s="10"/>
      <c r="AL86" s="10"/>
      <c r="AM86" s="10"/>
      <c r="AN86" s="10"/>
      <c r="AO86" s="10"/>
      <c r="AP86" s="10"/>
      <c r="AQ86" s="10"/>
      <c r="AR86" s="10">
        <f>1</f>
        <v>1</v>
      </c>
      <c r="AS86" s="10"/>
      <c r="AT86" s="11">
        <f t="shared" si="7"/>
        <v>1</v>
      </c>
    </row>
    <row r="87" spans="16:49" ht="48.75" customHeight="1" x14ac:dyDescent="0.25">
      <c r="P87" s="110" t="s">
        <v>160</v>
      </c>
      <c r="Q87" s="25">
        <f>1+2+1+2+1+1</f>
        <v>8</v>
      </c>
      <c r="R87" s="25">
        <f>1+1</f>
        <v>2</v>
      </c>
      <c r="S87" s="25">
        <f>1+1+1+1+1+1+1+1+1+1+1+1+1+1+1+1</f>
        <v>16</v>
      </c>
      <c r="T87" s="25"/>
      <c r="U87" s="25"/>
      <c r="V87" s="25"/>
      <c r="W87" s="25"/>
      <c r="X87" s="25"/>
      <c r="Y87" s="25"/>
      <c r="Z87" s="25"/>
      <c r="AA87" s="25"/>
      <c r="AB87" s="25"/>
      <c r="AC87" s="25">
        <f t="shared" si="11"/>
        <v>26</v>
      </c>
      <c r="AD87" s="20">
        <f>AC87/AC119*100</f>
        <v>9.3862815884476536</v>
      </c>
      <c r="AE87" s="6"/>
      <c r="AF87" s="10">
        <f>1+1+1+1+1+1+1+1+1+1+1+1+1</f>
        <v>13</v>
      </c>
      <c r="AG87" s="10">
        <f>1</f>
        <v>1</v>
      </c>
      <c r="AH87" s="11">
        <f t="shared" si="6"/>
        <v>14</v>
      </c>
      <c r="AI87" s="10"/>
      <c r="AJ87" s="10"/>
      <c r="AK87" s="10"/>
      <c r="AL87" s="10"/>
      <c r="AM87" s="10"/>
      <c r="AN87" s="10"/>
      <c r="AO87" s="10">
        <f>1</f>
        <v>1</v>
      </c>
      <c r="AP87" s="10">
        <f>1+1+1+1+1+1+1+1+1+1+1</f>
        <v>11</v>
      </c>
      <c r="AQ87" s="10">
        <f>1+1</f>
        <v>2</v>
      </c>
      <c r="AR87" s="10"/>
      <c r="AS87" s="10"/>
      <c r="AT87" s="11">
        <f t="shared" si="7"/>
        <v>14</v>
      </c>
    </row>
    <row r="88" spans="16:49" ht="39.75" customHeight="1" x14ac:dyDescent="0.25">
      <c r="P88" s="110" t="s">
        <v>168</v>
      </c>
      <c r="Q88" s="25">
        <f>1+1+1+1+1</f>
        <v>5</v>
      </c>
      <c r="R88" s="21">
        <f>1+1+1</f>
        <v>3</v>
      </c>
      <c r="S88" s="25">
        <f>1+1+1+3</f>
        <v>6</v>
      </c>
      <c r="T88" s="25"/>
      <c r="U88" s="25"/>
      <c r="V88" s="25"/>
      <c r="W88" s="25"/>
      <c r="X88" s="25"/>
      <c r="Y88" s="25"/>
      <c r="Z88" s="25"/>
      <c r="AA88" s="25"/>
      <c r="AB88" s="25"/>
      <c r="AC88" s="25">
        <f t="shared" si="11"/>
        <v>14</v>
      </c>
      <c r="AD88" s="20">
        <f>AC88/AC119*100</f>
        <v>5.0541516245487363</v>
      </c>
      <c r="AE88" s="6"/>
      <c r="AF88" s="10">
        <f>1+1+1+1</f>
        <v>4</v>
      </c>
      <c r="AG88" s="10"/>
      <c r="AH88" s="11">
        <f t="shared" si="6"/>
        <v>4</v>
      </c>
      <c r="AI88" s="10"/>
      <c r="AJ88" s="10"/>
      <c r="AK88" s="10"/>
      <c r="AL88" s="10"/>
      <c r="AM88" s="10"/>
      <c r="AN88" s="10"/>
      <c r="AO88" s="10"/>
      <c r="AP88" s="10">
        <f>1+1+1</f>
        <v>3</v>
      </c>
      <c r="AQ88" s="10">
        <f>1</f>
        <v>1</v>
      </c>
      <c r="AR88" s="10"/>
      <c r="AS88" s="10"/>
      <c r="AT88" s="11">
        <f t="shared" si="7"/>
        <v>4</v>
      </c>
    </row>
    <row r="89" spans="16:49" ht="33" customHeight="1" x14ac:dyDescent="0.25">
      <c r="P89" s="110" t="s">
        <v>169</v>
      </c>
      <c r="Q89" s="25">
        <f>1+1+1+1+1+1+1+4+3+2+1+1+2</f>
        <v>20</v>
      </c>
      <c r="R89" s="25">
        <f>1+2+1+1+1</f>
        <v>6</v>
      </c>
      <c r="S89" s="25">
        <f>1+1+1+3+1+1+1+1+1+1+2+1+1+2+1+1+1+1+1+3</f>
        <v>26</v>
      </c>
      <c r="T89" s="25"/>
      <c r="U89" s="25"/>
      <c r="V89" s="25"/>
      <c r="W89" s="25"/>
      <c r="X89" s="25"/>
      <c r="Y89" s="25"/>
      <c r="Z89" s="25"/>
      <c r="AA89" s="25"/>
      <c r="AB89" s="25"/>
      <c r="AC89" s="25">
        <f t="shared" si="11"/>
        <v>52</v>
      </c>
      <c r="AD89" s="20">
        <f>AC89/AC119*100</f>
        <v>18.772563176895307</v>
      </c>
      <c r="AE89" s="6"/>
      <c r="AF89" s="10">
        <f>1+1+2+1+1+1+1+1+1+3+1+2+1+1+2+1+1</f>
        <v>22</v>
      </c>
      <c r="AG89" s="10"/>
      <c r="AH89" s="11">
        <f t="shared" si="6"/>
        <v>22</v>
      </c>
      <c r="AI89" s="10"/>
      <c r="AJ89" s="10"/>
      <c r="AK89" s="10"/>
      <c r="AL89" s="10"/>
      <c r="AM89" s="10">
        <f>1</f>
        <v>1</v>
      </c>
      <c r="AN89" s="10">
        <f>1</f>
        <v>1</v>
      </c>
      <c r="AO89" s="10">
        <f>1</f>
        <v>1</v>
      </c>
      <c r="AP89" s="10">
        <f>2+1+1+1+1+1+1+1+1+2+1+1+2+1+1</f>
        <v>18</v>
      </c>
      <c r="AQ89" s="10"/>
      <c r="AR89" s="10">
        <f>1</f>
        <v>1</v>
      </c>
      <c r="AS89" s="10"/>
      <c r="AT89" s="11">
        <f t="shared" si="7"/>
        <v>22</v>
      </c>
    </row>
    <row r="90" spans="16:49" ht="69" customHeight="1" x14ac:dyDescent="0.25">
      <c r="P90" s="110" t="s">
        <v>161</v>
      </c>
      <c r="Q90" s="25">
        <f>1+1+1</f>
        <v>3</v>
      </c>
      <c r="R90" s="25">
        <f>1+1</f>
        <v>2</v>
      </c>
      <c r="S90" s="25">
        <f>1+1+1+1+1+1+1+2+1+1+1</f>
        <v>12</v>
      </c>
      <c r="T90" s="25"/>
      <c r="U90" s="25"/>
      <c r="V90" s="25"/>
      <c r="W90" s="25"/>
      <c r="X90" s="25"/>
      <c r="Y90" s="25"/>
      <c r="Z90" s="25"/>
      <c r="AA90" s="25"/>
      <c r="AB90" s="25"/>
      <c r="AC90" s="25">
        <f t="shared" si="11"/>
        <v>17</v>
      </c>
      <c r="AD90" s="20">
        <f>AC90/AC119*100</f>
        <v>6.1371841155234659</v>
      </c>
      <c r="AE90" s="6"/>
      <c r="AF90" s="10">
        <f>1+1+1+1+1+1+1+1</f>
        <v>8</v>
      </c>
      <c r="AG90" s="10"/>
      <c r="AH90" s="11">
        <f t="shared" si="6"/>
        <v>8</v>
      </c>
      <c r="AI90" s="10"/>
      <c r="AJ90" s="10"/>
      <c r="AK90" s="10"/>
      <c r="AL90" s="10"/>
      <c r="AM90" s="10"/>
      <c r="AN90" s="10"/>
      <c r="AO90" s="10">
        <f>1</f>
        <v>1</v>
      </c>
      <c r="AP90" s="10">
        <f>1+1+1+1+1+1+1</f>
        <v>7</v>
      </c>
      <c r="AQ90" s="10"/>
      <c r="AR90" s="10"/>
      <c r="AS90" s="10"/>
      <c r="AT90" s="11">
        <f t="shared" si="7"/>
        <v>8</v>
      </c>
    </row>
    <row r="91" spans="16:49" ht="34.5" customHeight="1" x14ac:dyDescent="0.25">
      <c r="P91" s="110" t="s">
        <v>170</v>
      </c>
      <c r="Q91" s="25">
        <f>1</f>
        <v>1</v>
      </c>
      <c r="R91" s="25">
        <f>1+1</f>
        <v>2</v>
      </c>
      <c r="S91" s="25">
        <f>2+1+3+2+1+1</f>
        <v>10</v>
      </c>
      <c r="T91" s="25"/>
      <c r="U91" s="25"/>
      <c r="V91" s="25"/>
      <c r="W91" s="25"/>
      <c r="X91" s="25"/>
      <c r="Y91" s="25"/>
      <c r="Z91" s="25"/>
      <c r="AA91" s="25"/>
      <c r="AB91" s="25"/>
      <c r="AC91" s="25">
        <f>SUM(Q91:AB91)</f>
        <v>13</v>
      </c>
      <c r="AD91" s="20">
        <f>AC91/AC119*100</f>
        <v>4.6931407942238268</v>
      </c>
      <c r="AE91" s="6"/>
      <c r="AF91" s="10">
        <f>2+1+2+1+1+1</f>
        <v>8</v>
      </c>
      <c r="AG91" s="10">
        <f>1+1</f>
        <v>2</v>
      </c>
      <c r="AH91" s="11">
        <f t="shared" si="6"/>
        <v>10</v>
      </c>
      <c r="AI91" s="10"/>
      <c r="AJ91" s="10"/>
      <c r="AK91" s="10"/>
      <c r="AL91" s="10"/>
      <c r="AM91" s="10">
        <f>1</f>
        <v>1</v>
      </c>
      <c r="AN91" s="10">
        <f>2</f>
        <v>2</v>
      </c>
      <c r="AO91" s="10"/>
      <c r="AP91" s="10">
        <f>3+1+1+1</f>
        <v>6</v>
      </c>
      <c r="AQ91" s="10"/>
      <c r="AR91" s="10">
        <f>1</f>
        <v>1</v>
      </c>
      <c r="AS91" s="10"/>
      <c r="AT91" s="11">
        <f t="shared" si="7"/>
        <v>10</v>
      </c>
    </row>
    <row r="92" spans="16:49" ht="25.5" customHeight="1" x14ac:dyDescent="0.25">
      <c r="P92" s="110" t="s">
        <v>62</v>
      </c>
      <c r="Q92" s="25">
        <f>1+1</f>
        <v>2</v>
      </c>
      <c r="R92" s="25">
        <f>1</f>
        <v>1</v>
      </c>
      <c r="S92" s="25">
        <f>2+1</f>
        <v>3</v>
      </c>
      <c r="T92" s="25"/>
      <c r="U92" s="25"/>
      <c r="V92" s="25"/>
      <c r="W92" s="25"/>
      <c r="X92" s="25"/>
      <c r="Y92" s="25"/>
      <c r="Z92" s="25"/>
      <c r="AA92" s="25"/>
      <c r="AB92" s="25"/>
      <c r="AC92" s="25">
        <f t="shared" si="11"/>
        <v>6</v>
      </c>
      <c r="AD92" s="20">
        <f>AC92/AC119*100</f>
        <v>2.1660649819494582</v>
      </c>
      <c r="AE92" s="6"/>
      <c r="AF92" s="10">
        <f>1</f>
        <v>1</v>
      </c>
      <c r="AG92" s="10"/>
      <c r="AH92" s="11">
        <f>SUM(AF92:AG92)</f>
        <v>1</v>
      </c>
      <c r="AI92" s="10"/>
      <c r="AJ92" s="10"/>
      <c r="AK92" s="10"/>
      <c r="AL92" s="10"/>
      <c r="AM92" s="10">
        <f>1</f>
        <v>1</v>
      </c>
      <c r="AN92" s="10"/>
      <c r="AO92" s="10"/>
      <c r="AP92" s="10"/>
      <c r="AQ92" s="10"/>
      <c r="AR92" s="10"/>
      <c r="AS92" s="10"/>
      <c r="AT92" s="11">
        <f>SUM(AI92:AS92)</f>
        <v>1</v>
      </c>
    </row>
    <row r="93" spans="16:49" ht="31.15" hidden="1" customHeight="1" x14ac:dyDescent="0.25">
      <c r="P93" s="110" t="s">
        <v>37</v>
      </c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>
        <f t="shared" si="11"/>
        <v>0</v>
      </c>
      <c r="AD93" s="20">
        <f>AC93/AC119*100</f>
        <v>0</v>
      </c>
      <c r="AE93" s="6"/>
      <c r="AF93" s="10"/>
      <c r="AG93" s="10"/>
      <c r="AH93" s="11">
        <f t="shared" si="6"/>
        <v>0</v>
      </c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1">
        <f t="shared" si="7"/>
        <v>0</v>
      </c>
    </row>
    <row r="94" spans="16:49" ht="41.25" hidden="1" customHeight="1" x14ac:dyDescent="0.25">
      <c r="P94" s="110" t="s">
        <v>162</v>
      </c>
      <c r="Q94" s="25"/>
      <c r="R94" s="25"/>
      <c r="S94" s="25"/>
      <c r="T94" s="25"/>
      <c r="U94" s="25"/>
      <c r="V94" s="26"/>
      <c r="W94" s="25"/>
      <c r="X94" s="25"/>
      <c r="Y94" s="25"/>
      <c r="Z94" s="25"/>
      <c r="AA94" s="25"/>
      <c r="AB94" s="25"/>
      <c r="AC94" s="25">
        <f t="shared" si="11"/>
        <v>0</v>
      </c>
      <c r="AD94" s="20">
        <f>AC94/AC119*100</f>
        <v>0</v>
      </c>
      <c r="AE94" s="6"/>
      <c r="AF94" s="10"/>
      <c r="AG94" s="10"/>
      <c r="AH94" s="11">
        <f t="shared" si="6"/>
        <v>0</v>
      </c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1">
        <f t="shared" si="7"/>
        <v>0</v>
      </c>
    </row>
    <row r="95" spans="16:49" ht="40.5" hidden="1" customHeight="1" x14ac:dyDescent="0.25">
      <c r="P95" s="110" t="s">
        <v>98</v>
      </c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>
        <f t="shared" si="11"/>
        <v>0</v>
      </c>
      <c r="AD95" s="20">
        <f>AC95/AC119*100</f>
        <v>0</v>
      </c>
      <c r="AE95" s="6"/>
      <c r="AF95" s="10"/>
      <c r="AG95" s="10"/>
      <c r="AH95" s="11">
        <f t="shared" si="6"/>
        <v>0</v>
      </c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1">
        <f t="shared" si="7"/>
        <v>0</v>
      </c>
    </row>
    <row r="96" spans="16:49" ht="33" hidden="1" customHeight="1" x14ac:dyDescent="0.25">
      <c r="P96" s="110" t="s">
        <v>63</v>
      </c>
      <c r="Q96" s="25"/>
      <c r="R96" s="51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>
        <f t="shared" si="11"/>
        <v>0</v>
      </c>
      <c r="AD96" s="20">
        <f>AC96/AC119*100</f>
        <v>0</v>
      </c>
      <c r="AE96" s="6"/>
      <c r="AF96" s="10"/>
      <c r="AG96" s="10"/>
      <c r="AH96" s="11">
        <f t="shared" si="6"/>
        <v>0</v>
      </c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1">
        <f t="shared" si="7"/>
        <v>0</v>
      </c>
    </row>
    <row r="97" spans="16:46" ht="42.75" hidden="1" customHeight="1" x14ac:dyDescent="0.25">
      <c r="P97" s="110" t="s">
        <v>110</v>
      </c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>
        <f t="shared" si="11"/>
        <v>0</v>
      </c>
      <c r="AD97" s="20">
        <f>AC97/AC119*100</f>
        <v>0</v>
      </c>
      <c r="AE97" s="6"/>
      <c r="AF97" s="10"/>
      <c r="AG97" s="10"/>
      <c r="AH97" s="11">
        <f t="shared" si="6"/>
        <v>0</v>
      </c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1">
        <f t="shared" si="7"/>
        <v>0</v>
      </c>
    </row>
    <row r="98" spans="16:46" ht="48" customHeight="1" x14ac:dyDescent="0.25">
      <c r="P98" s="110" t="s">
        <v>103</v>
      </c>
      <c r="Q98" s="25">
        <f>2</f>
        <v>2</v>
      </c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>
        <f t="shared" si="11"/>
        <v>2</v>
      </c>
      <c r="AD98" s="20">
        <f>AC98/AC119*100</f>
        <v>0.72202166064981954</v>
      </c>
      <c r="AE98" s="6"/>
      <c r="AF98" s="10">
        <v>0</v>
      </c>
      <c r="AG98" s="10"/>
      <c r="AH98" s="11">
        <f t="shared" si="6"/>
        <v>0</v>
      </c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1">
        <f t="shared" si="7"/>
        <v>0</v>
      </c>
    </row>
    <row r="99" spans="16:46" ht="43.5" hidden="1" customHeight="1" x14ac:dyDescent="0.25">
      <c r="P99" s="110" t="s">
        <v>108</v>
      </c>
      <c r="Q99" s="51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>
        <f t="shared" si="11"/>
        <v>0</v>
      </c>
      <c r="AD99" s="20">
        <f>AC99/AC119*100</f>
        <v>0</v>
      </c>
      <c r="AE99" s="6"/>
      <c r="AF99" s="10"/>
      <c r="AG99" s="10"/>
      <c r="AH99" s="11">
        <f t="shared" si="6"/>
        <v>0</v>
      </c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1">
        <f t="shared" si="7"/>
        <v>0</v>
      </c>
    </row>
    <row r="100" spans="16:46" ht="27" customHeight="1" x14ac:dyDescent="0.25">
      <c r="P100" s="110" t="s">
        <v>109</v>
      </c>
      <c r="Q100" s="25">
        <f>1+1</f>
        <v>2</v>
      </c>
      <c r="R100" s="25">
        <f>1</f>
        <v>1</v>
      </c>
      <c r="S100" s="25">
        <f>1+1</f>
        <v>2</v>
      </c>
      <c r="T100" s="25"/>
      <c r="U100" s="25"/>
      <c r="V100" s="25"/>
      <c r="W100" s="25"/>
      <c r="X100" s="25"/>
      <c r="Y100" s="25"/>
      <c r="Z100" s="25"/>
      <c r="AA100" s="25"/>
      <c r="AB100" s="25"/>
      <c r="AC100" s="25">
        <f t="shared" si="11"/>
        <v>5</v>
      </c>
      <c r="AD100" s="20">
        <f>AC100/AC119*100</f>
        <v>1.8050541516245486</v>
      </c>
      <c r="AE100" s="6"/>
      <c r="AF100" s="10">
        <f>1+1+1</f>
        <v>3</v>
      </c>
      <c r="AG100" s="10"/>
      <c r="AH100" s="11">
        <f t="shared" si="6"/>
        <v>3</v>
      </c>
      <c r="AI100" s="10"/>
      <c r="AJ100" s="10"/>
      <c r="AK100" s="10"/>
      <c r="AL100" s="10"/>
      <c r="AM100" s="10"/>
      <c r="AN100" s="10"/>
      <c r="AO100" s="10">
        <f>1</f>
        <v>1</v>
      </c>
      <c r="AP100" s="10">
        <f>1</f>
        <v>1</v>
      </c>
      <c r="AQ100" s="10"/>
      <c r="AR100" s="10">
        <f>1</f>
        <v>1</v>
      </c>
      <c r="AS100" s="10"/>
      <c r="AT100" s="11">
        <f t="shared" si="7"/>
        <v>3</v>
      </c>
    </row>
    <row r="101" spans="16:46" ht="28.5" customHeight="1" x14ac:dyDescent="0.25">
      <c r="P101" s="110" t="s">
        <v>105</v>
      </c>
      <c r="Q101" s="25"/>
      <c r="R101" s="25">
        <f>1</f>
        <v>1</v>
      </c>
      <c r="S101" s="25">
        <f>1</f>
        <v>1</v>
      </c>
      <c r="T101" s="25"/>
      <c r="U101" s="25"/>
      <c r="V101" s="25"/>
      <c r="W101" s="25"/>
      <c r="X101" s="25"/>
      <c r="Y101" s="25"/>
      <c r="Z101" s="25"/>
      <c r="AA101" s="25"/>
      <c r="AB101" s="25"/>
      <c r="AC101" s="25">
        <f t="shared" si="11"/>
        <v>2</v>
      </c>
      <c r="AD101" s="20">
        <f>AC101/AC119*100</f>
        <v>0.72202166064981954</v>
      </c>
      <c r="AE101" s="6"/>
      <c r="AF101" s="10">
        <v>0</v>
      </c>
      <c r="AG101" s="10"/>
      <c r="AH101" s="11">
        <f t="shared" si="6"/>
        <v>0</v>
      </c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1">
        <f t="shared" si="7"/>
        <v>0</v>
      </c>
    </row>
    <row r="102" spans="16:46" ht="58.5" customHeight="1" x14ac:dyDescent="0.25">
      <c r="P102" s="110" t="s">
        <v>61</v>
      </c>
      <c r="Q102" s="51">
        <f>1+1+1</f>
        <v>3</v>
      </c>
      <c r="R102" s="25">
        <f>1</f>
        <v>1</v>
      </c>
      <c r="S102" s="25">
        <f>1+1+1+1+1</f>
        <v>5</v>
      </c>
      <c r="T102" s="25"/>
      <c r="U102" s="25"/>
      <c r="V102" s="25"/>
      <c r="W102" s="25"/>
      <c r="X102" s="25"/>
      <c r="Y102" s="25"/>
      <c r="Z102" s="25"/>
      <c r="AA102" s="25"/>
      <c r="AB102" s="25"/>
      <c r="AC102" s="25">
        <f>SUM(Q102:AB102)</f>
        <v>9</v>
      </c>
      <c r="AD102" s="20">
        <f>AC102/AC119*100</f>
        <v>3.2490974729241873</v>
      </c>
      <c r="AE102" s="6"/>
      <c r="AF102" s="10">
        <f>1+1+1+1+1+1+1</f>
        <v>7</v>
      </c>
      <c r="AG102" s="10"/>
      <c r="AH102" s="11">
        <f t="shared" si="6"/>
        <v>7</v>
      </c>
      <c r="AI102" s="10"/>
      <c r="AJ102" s="10"/>
      <c r="AK102" s="10"/>
      <c r="AL102" s="10"/>
      <c r="AM102" s="10"/>
      <c r="AN102" s="10">
        <f>1</f>
        <v>1</v>
      </c>
      <c r="AO102" s="10"/>
      <c r="AP102" s="10">
        <f>1+1+1+1+1+1</f>
        <v>6</v>
      </c>
      <c r="AQ102" s="10"/>
      <c r="AR102" s="10"/>
      <c r="AS102" s="10"/>
      <c r="AT102" s="11">
        <f t="shared" si="7"/>
        <v>7</v>
      </c>
    </row>
    <row r="103" spans="16:46" ht="39.75" customHeight="1" x14ac:dyDescent="0.25">
      <c r="P103" s="110" t="s">
        <v>163</v>
      </c>
      <c r="Q103" s="25">
        <f>1+1</f>
        <v>2</v>
      </c>
      <c r="R103" s="25">
        <f>1</f>
        <v>1</v>
      </c>
      <c r="S103" s="25">
        <f>1</f>
        <v>1</v>
      </c>
      <c r="T103" s="25"/>
      <c r="U103" s="25"/>
      <c r="V103" s="25"/>
      <c r="W103" s="25"/>
      <c r="X103" s="25"/>
      <c r="Y103" s="25"/>
      <c r="Z103" s="25"/>
      <c r="AA103" s="25"/>
      <c r="AB103" s="25"/>
      <c r="AC103" s="25">
        <f t="shared" si="11"/>
        <v>4</v>
      </c>
      <c r="AD103" s="20">
        <f>AC103/AC119*100</f>
        <v>1.4440433212996391</v>
      </c>
      <c r="AE103" s="6"/>
      <c r="AF103" s="10">
        <f>1+1+1+1</f>
        <v>4</v>
      </c>
      <c r="AG103" s="10"/>
      <c r="AH103" s="11">
        <f t="shared" si="6"/>
        <v>4</v>
      </c>
      <c r="AI103" s="10"/>
      <c r="AJ103" s="10"/>
      <c r="AK103" s="10"/>
      <c r="AL103" s="10"/>
      <c r="AM103" s="10"/>
      <c r="AN103" s="10"/>
      <c r="AO103" s="10">
        <f>1+1+1</f>
        <v>3</v>
      </c>
      <c r="AP103" s="10">
        <f>1</f>
        <v>1</v>
      </c>
      <c r="AQ103" s="10"/>
      <c r="AR103" s="10"/>
      <c r="AS103" s="10"/>
      <c r="AT103" s="11">
        <f t="shared" si="7"/>
        <v>4</v>
      </c>
    </row>
    <row r="104" spans="16:46" ht="59.25" customHeight="1" x14ac:dyDescent="0.25">
      <c r="P104" s="110" t="s">
        <v>114</v>
      </c>
      <c r="Q104" s="25"/>
      <c r="R104" s="25">
        <f>1</f>
        <v>1</v>
      </c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>
        <f t="shared" si="11"/>
        <v>1</v>
      </c>
      <c r="AD104" s="20">
        <f>AC104/AC119*100</f>
        <v>0.36101083032490977</v>
      </c>
      <c r="AE104" s="6"/>
      <c r="AF104" s="10">
        <f>1</f>
        <v>1</v>
      </c>
      <c r="AG104" s="10"/>
      <c r="AH104" s="11">
        <f t="shared" si="6"/>
        <v>1</v>
      </c>
      <c r="AI104" s="10"/>
      <c r="AJ104" s="10"/>
      <c r="AK104" s="129"/>
      <c r="AL104" s="10"/>
      <c r="AM104" s="10"/>
      <c r="AN104" s="10"/>
      <c r="AO104" s="10"/>
      <c r="AP104" s="10">
        <f>1</f>
        <v>1</v>
      </c>
      <c r="AQ104" s="10"/>
      <c r="AR104" s="10"/>
      <c r="AS104" s="10"/>
      <c r="AT104" s="11">
        <f t="shared" si="7"/>
        <v>1</v>
      </c>
    </row>
    <row r="105" spans="16:46" ht="50.25" customHeight="1" x14ac:dyDescent="0.25">
      <c r="P105" s="110" t="s">
        <v>111</v>
      </c>
      <c r="Q105" s="25"/>
      <c r="R105" s="25">
        <f>1+1</f>
        <v>2</v>
      </c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>
        <f t="shared" si="11"/>
        <v>2</v>
      </c>
      <c r="AD105" s="20">
        <f>AC105/AC119*100</f>
        <v>0.72202166064981954</v>
      </c>
      <c r="AE105" s="6"/>
      <c r="AF105" s="10">
        <f>1+1</f>
        <v>2</v>
      </c>
      <c r="AG105" s="10"/>
      <c r="AH105" s="11">
        <f t="shared" si="6"/>
        <v>2</v>
      </c>
      <c r="AI105" s="10"/>
      <c r="AJ105" s="10"/>
      <c r="AK105" s="10"/>
      <c r="AL105" s="10"/>
      <c r="AM105" s="10"/>
      <c r="AN105" s="10"/>
      <c r="AO105" s="10"/>
      <c r="AP105" s="10">
        <f>1+1</f>
        <v>2</v>
      </c>
      <c r="AQ105" s="10"/>
      <c r="AR105" s="10"/>
      <c r="AS105" s="10"/>
      <c r="AT105" s="11">
        <f t="shared" si="7"/>
        <v>2</v>
      </c>
    </row>
    <row r="106" spans="16:46" ht="45.75" hidden="1" customHeight="1" x14ac:dyDescent="0.25">
      <c r="P106" s="110" t="s">
        <v>39</v>
      </c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>
        <f t="shared" si="11"/>
        <v>0</v>
      </c>
      <c r="AD106" s="20">
        <f>AC106/AC119*100</f>
        <v>0</v>
      </c>
      <c r="AE106" s="6"/>
      <c r="AF106" s="10"/>
      <c r="AG106" s="10"/>
      <c r="AH106" s="11">
        <f t="shared" si="6"/>
        <v>0</v>
      </c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1">
        <f t="shared" si="7"/>
        <v>0</v>
      </c>
    </row>
    <row r="107" spans="16:46" ht="25.5" customHeight="1" x14ac:dyDescent="0.25">
      <c r="P107" s="110" t="s">
        <v>121</v>
      </c>
      <c r="Q107" s="25">
        <f>3</f>
        <v>3</v>
      </c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>
        <f t="shared" si="11"/>
        <v>3</v>
      </c>
      <c r="AD107" s="20">
        <f>AC107/AC119*100</f>
        <v>1.0830324909747291</v>
      </c>
      <c r="AE107" s="6"/>
      <c r="AF107" s="10">
        <v>0</v>
      </c>
      <c r="AG107" s="10"/>
      <c r="AH107" s="11">
        <f t="shared" si="6"/>
        <v>0</v>
      </c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1">
        <f t="shared" si="7"/>
        <v>0</v>
      </c>
    </row>
    <row r="108" spans="16:46" ht="23.25" hidden="1" customHeight="1" x14ac:dyDescent="0.25">
      <c r="P108" s="110" t="s">
        <v>113</v>
      </c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>
        <f t="shared" si="11"/>
        <v>0</v>
      </c>
      <c r="AD108" s="20">
        <f>AC108/AC119*100</f>
        <v>0</v>
      </c>
      <c r="AE108" s="6"/>
      <c r="AF108" s="10"/>
      <c r="AG108" s="10"/>
      <c r="AH108" s="11">
        <f t="shared" si="6"/>
        <v>0</v>
      </c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1">
        <f t="shared" si="7"/>
        <v>0</v>
      </c>
    </row>
    <row r="109" spans="16:46" ht="38.25" customHeight="1" x14ac:dyDescent="0.25">
      <c r="P109" s="110" t="s">
        <v>164</v>
      </c>
      <c r="Q109" s="25">
        <f>3</f>
        <v>3</v>
      </c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>
        <f t="shared" si="11"/>
        <v>3</v>
      </c>
      <c r="AD109" s="20">
        <f>AC109/AC119*100</f>
        <v>1.0830324909747291</v>
      </c>
      <c r="AE109" s="6"/>
      <c r="AF109" s="10">
        <f>3</f>
        <v>3</v>
      </c>
      <c r="AG109" s="10"/>
      <c r="AH109" s="11">
        <f t="shared" si="6"/>
        <v>3</v>
      </c>
      <c r="AI109" s="10"/>
      <c r="AJ109" s="10"/>
      <c r="AK109" s="10"/>
      <c r="AL109" s="10"/>
      <c r="AM109" s="10"/>
      <c r="AN109" s="10">
        <f>1</f>
        <v>1</v>
      </c>
      <c r="AO109" s="10"/>
      <c r="AP109" s="10">
        <f>2</f>
        <v>2</v>
      </c>
      <c r="AQ109" s="10"/>
      <c r="AR109" s="10"/>
      <c r="AS109" s="10"/>
      <c r="AT109" s="11">
        <f t="shared" si="7"/>
        <v>3</v>
      </c>
    </row>
    <row r="110" spans="16:46" ht="49.5" customHeight="1" x14ac:dyDescent="0.25">
      <c r="P110" s="110" t="s">
        <v>171</v>
      </c>
      <c r="Q110" s="25">
        <f>1+1+1+1+1+1+8</f>
        <v>14</v>
      </c>
      <c r="R110" s="25">
        <f>2+1+1+1+1+1+1</f>
        <v>8</v>
      </c>
      <c r="S110" s="25">
        <f>1+5+1+5+1+1+1+2+1+2+1+2+1+2+1+2+2+3+2+1+1+1</f>
        <v>39</v>
      </c>
      <c r="T110" s="25"/>
      <c r="U110" s="25"/>
      <c r="V110" s="25"/>
      <c r="W110" s="25"/>
      <c r="X110" s="25"/>
      <c r="Y110" s="25"/>
      <c r="Z110" s="25"/>
      <c r="AA110" s="25"/>
      <c r="AB110" s="25"/>
      <c r="AC110" s="25">
        <f t="shared" si="11"/>
        <v>61</v>
      </c>
      <c r="AD110" s="20">
        <f>AC110/AC119*100</f>
        <v>22.021660649819495</v>
      </c>
      <c r="AE110" s="6"/>
      <c r="AF110" s="10">
        <f>4+1+1+1+2+1+2+2+1+2+1</f>
        <v>18</v>
      </c>
      <c r="AG110" s="10">
        <f>1</f>
        <v>1</v>
      </c>
      <c r="AH110" s="11">
        <f t="shared" si="6"/>
        <v>19</v>
      </c>
      <c r="AI110" s="10"/>
      <c r="AJ110" s="10"/>
      <c r="AK110" s="10"/>
      <c r="AL110" s="10"/>
      <c r="AM110" s="10"/>
      <c r="AN110" s="10"/>
      <c r="AO110" s="10">
        <f>1+1+1</f>
        <v>3</v>
      </c>
      <c r="AP110" s="127">
        <f>3+1+1+1+2+2+2+1+1+1</f>
        <v>15</v>
      </c>
      <c r="AQ110" s="10"/>
      <c r="AR110" s="10">
        <f>1</f>
        <v>1</v>
      </c>
      <c r="AS110" s="10"/>
      <c r="AT110" s="11">
        <f t="shared" si="7"/>
        <v>19</v>
      </c>
    </row>
    <row r="111" spans="16:46" ht="30" customHeight="1" x14ac:dyDescent="0.25">
      <c r="P111" s="110" t="s">
        <v>165</v>
      </c>
      <c r="Q111" s="25">
        <f>1</f>
        <v>1</v>
      </c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>
        <f t="shared" si="11"/>
        <v>1</v>
      </c>
      <c r="AD111" s="20">
        <f>AC111/AC119*100</f>
        <v>0.36101083032490977</v>
      </c>
      <c r="AE111" s="6"/>
      <c r="AF111" s="10">
        <v>0</v>
      </c>
      <c r="AG111" s="10"/>
      <c r="AH111" s="11">
        <f>SUM(AF111:AG111)</f>
        <v>0</v>
      </c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1">
        <f>SUM(AI111:AS111)</f>
        <v>0</v>
      </c>
    </row>
    <row r="112" spans="16:46" ht="39.75" hidden="1" customHeight="1" x14ac:dyDescent="0.25">
      <c r="P112" s="110" t="s">
        <v>179</v>
      </c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>
        <f t="shared" si="11"/>
        <v>0</v>
      </c>
      <c r="AD112" s="20">
        <f>AC112/AC119*100</f>
        <v>0</v>
      </c>
      <c r="AE112" s="6"/>
      <c r="AF112" s="10"/>
      <c r="AG112" s="10"/>
      <c r="AH112" s="11">
        <f t="shared" si="6"/>
        <v>0</v>
      </c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1">
        <f t="shared" si="7"/>
        <v>0</v>
      </c>
    </row>
    <row r="113" spans="16:49" ht="24.75" customHeight="1" x14ac:dyDescent="0.25">
      <c r="P113" s="110" t="s">
        <v>166</v>
      </c>
      <c r="Q113" s="25"/>
      <c r="R113" s="25"/>
      <c r="S113" s="25">
        <f>1</f>
        <v>1</v>
      </c>
      <c r="T113" s="25"/>
      <c r="U113" s="25"/>
      <c r="V113" s="25"/>
      <c r="W113" s="25"/>
      <c r="X113" s="25"/>
      <c r="Y113" s="25"/>
      <c r="Z113" s="25"/>
      <c r="AA113" s="25"/>
      <c r="AB113" s="25"/>
      <c r="AC113" s="25">
        <f t="shared" si="11"/>
        <v>1</v>
      </c>
      <c r="AD113" s="20">
        <f>AC113/AC119*100</f>
        <v>0.36101083032490977</v>
      </c>
      <c r="AE113" s="6"/>
      <c r="AF113" s="10">
        <f>1</f>
        <v>1</v>
      </c>
      <c r="AG113" s="10"/>
      <c r="AH113" s="11">
        <f t="shared" si="6"/>
        <v>1</v>
      </c>
      <c r="AI113" s="10"/>
      <c r="AJ113" s="10"/>
      <c r="AK113" s="10"/>
      <c r="AL113" s="10"/>
      <c r="AM113" s="10"/>
      <c r="AN113" s="10"/>
      <c r="AO113" s="10"/>
      <c r="AP113" s="10">
        <f>1</f>
        <v>1</v>
      </c>
      <c r="AQ113" s="10"/>
      <c r="AR113" s="10"/>
      <c r="AS113" s="10"/>
      <c r="AT113" s="11">
        <f t="shared" si="7"/>
        <v>1</v>
      </c>
    </row>
    <row r="114" spans="16:49" ht="51" customHeight="1" x14ac:dyDescent="0.25">
      <c r="P114" s="110" t="s">
        <v>104</v>
      </c>
      <c r="Q114" s="25"/>
      <c r="R114" s="25"/>
      <c r="S114" s="25">
        <f>1+1+1+3</f>
        <v>6</v>
      </c>
      <c r="T114" s="25"/>
      <c r="U114" s="25"/>
      <c r="V114" s="25"/>
      <c r="W114" s="25"/>
      <c r="X114" s="25"/>
      <c r="Y114" s="25"/>
      <c r="Z114" s="25"/>
      <c r="AA114" s="25"/>
      <c r="AB114" s="25"/>
      <c r="AC114" s="25">
        <f t="shared" si="11"/>
        <v>6</v>
      </c>
      <c r="AD114" s="20">
        <f>AC114/AC119*100</f>
        <v>2.1660649819494582</v>
      </c>
      <c r="AE114" s="6"/>
      <c r="AF114" s="10">
        <f>1+1</f>
        <v>2</v>
      </c>
      <c r="AG114" s="10"/>
      <c r="AH114" s="11">
        <f t="shared" si="6"/>
        <v>2</v>
      </c>
      <c r="AI114" s="10"/>
      <c r="AJ114" s="10"/>
      <c r="AK114" s="10"/>
      <c r="AL114" s="10"/>
      <c r="AM114" s="10"/>
      <c r="AN114" s="10"/>
      <c r="AO114" s="10"/>
      <c r="AP114" s="10">
        <f>1+1</f>
        <v>2</v>
      </c>
      <c r="AQ114" s="10"/>
      <c r="AR114" s="10"/>
      <c r="AS114" s="10"/>
      <c r="AT114" s="11">
        <f t="shared" si="7"/>
        <v>2</v>
      </c>
    </row>
    <row r="115" spans="16:49" ht="62.25" customHeight="1" x14ac:dyDescent="0.25">
      <c r="P115" s="110" t="s">
        <v>60</v>
      </c>
      <c r="Q115" s="25">
        <f>2+2</f>
        <v>4</v>
      </c>
      <c r="R115" s="25">
        <f>1</f>
        <v>1</v>
      </c>
      <c r="S115" s="25">
        <f>1+2</f>
        <v>3</v>
      </c>
      <c r="T115" s="25"/>
      <c r="U115" s="25"/>
      <c r="V115" s="25"/>
      <c r="W115" s="25"/>
      <c r="X115" s="25"/>
      <c r="Y115" s="25"/>
      <c r="Z115" s="25"/>
      <c r="AA115" s="25"/>
      <c r="AB115" s="25"/>
      <c r="AC115" s="25">
        <f t="shared" si="11"/>
        <v>8</v>
      </c>
      <c r="AD115" s="20">
        <f>AC115/AC119*100</f>
        <v>2.8880866425992782</v>
      </c>
      <c r="AE115" s="6"/>
      <c r="AF115" s="10">
        <f>2+2+1</f>
        <v>5</v>
      </c>
      <c r="AG115" s="10">
        <f>1</f>
        <v>1</v>
      </c>
      <c r="AH115" s="11">
        <f>SUM(AF115:AG115)</f>
        <v>6</v>
      </c>
      <c r="AI115" s="10"/>
      <c r="AJ115" s="10"/>
      <c r="AK115" s="10"/>
      <c r="AL115" s="10"/>
      <c r="AM115" s="10"/>
      <c r="AN115" s="10"/>
      <c r="AO115" s="10"/>
      <c r="AP115" s="10">
        <f>1+2+2+1</f>
        <v>6</v>
      </c>
      <c r="AQ115" s="10"/>
      <c r="AR115" s="10"/>
      <c r="AS115" s="10"/>
      <c r="AT115" s="11">
        <f>SUM(AI115:AS115)</f>
        <v>6</v>
      </c>
    </row>
    <row r="116" spans="16:49" ht="33.75" hidden="1" customHeight="1" x14ac:dyDescent="0.25">
      <c r="P116" s="110" t="s">
        <v>42</v>
      </c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>
        <f t="shared" si="11"/>
        <v>0</v>
      </c>
      <c r="AD116" s="20">
        <f>AC116/AC119*100</f>
        <v>0</v>
      </c>
      <c r="AE116" s="6"/>
      <c r="AF116" s="10"/>
      <c r="AG116" s="10"/>
      <c r="AH116" s="11">
        <f t="shared" si="6"/>
        <v>0</v>
      </c>
      <c r="AI116" s="10">
        <f t="shared" ref="AI116:AJ118" si="12">SUM(AH116)</f>
        <v>0</v>
      </c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1">
        <f t="shared" si="7"/>
        <v>0</v>
      </c>
    </row>
    <row r="117" spans="16:49" ht="42" customHeight="1" x14ac:dyDescent="0.25">
      <c r="P117" s="110" t="s">
        <v>167</v>
      </c>
      <c r="Q117" s="25"/>
      <c r="R117" s="25"/>
      <c r="S117" s="25">
        <f>1</f>
        <v>1</v>
      </c>
      <c r="T117" s="25"/>
      <c r="U117" s="25"/>
      <c r="V117" s="25"/>
      <c r="W117" s="25"/>
      <c r="X117" s="25"/>
      <c r="Y117" s="25"/>
      <c r="Z117" s="25"/>
      <c r="AA117" s="25"/>
      <c r="AB117" s="25"/>
      <c r="AC117" s="25">
        <f t="shared" si="11"/>
        <v>1</v>
      </c>
      <c r="AD117" s="20">
        <f>AC117/AC119*100</f>
        <v>0.36101083032490977</v>
      </c>
      <c r="AE117" s="6"/>
      <c r="AF117" s="10"/>
      <c r="AG117" s="10"/>
      <c r="AH117" s="11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1"/>
    </row>
    <row r="118" spans="16:49" ht="0.75" customHeight="1" x14ac:dyDescent="0.25">
      <c r="P118" s="12" t="s">
        <v>43</v>
      </c>
      <c r="Q118" s="25">
        <v>0</v>
      </c>
      <c r="R118" s="25">
        <v>0</v>
      </c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>
        <f t="shared" si="11"/>
        <v>0</v>
      </c>
      <c r="AD118" s="20">
        <f>AC118/AC119*100</f>
        <v>0</v>
      </c>
      <c r="AE118" s="6"/>
      <c r="AF118" s="10"/>
      <c r="AG118" s="10"/>
      <c r="AH118" s="11">
        <f t="shared" si="6"/>
        <v>0</v>
      </c>
      <c r="AI118" s="10">
        <f t="shared" si="12"/>
        <v>0</v>
      </c>
      <c r="AJ118" s="10">
        <f t="shared" si="12"/>
        <v>0</v>
      </c>
      <c r="AK118" s="10"/>
      <c r="AL118" s="10"/>
      <c r="AM118" s="10"/>
      <c r="AN118" s="10"/>
      <c r="AO118" s="10"/>
      <c r="AP118" s="10"/>
      <c r="AQ118" s="10"/>
      <c r="AR118" s="10"/>
      <c r="AS118" s="10"/>
      <c r="AT118" s="11">
        <f t="shared" si="7"/>
        <v>0</v>
      </c>
    </row>
    <row r="119" spans="16:49" ht="21.75" customHeight="1" x14ac:dyDescent="0.25">
      <c r="P119" s="24" t="s">
        <v>44</v>
      </c>
      <c r="Q119" s="39">
        <f t="shared" ref="Q119:V119" si="13">SUM(Q84:Q118)</f>
        <v>80</v>
      </c>
      <c r="R119" s="39">
        <f t="shared" si="13"/>
        <v>45</v>
      </c>
      <c r="S119" s="39">
        <f t="shared" si="13"/>
        <v>152</v>
      </c>
      <c r="T119" s="39">
        <f t="shared" si="13"/>
        <v>0</v>
      </c>
      <c r="U119" s="39">
        <f t="shared" si="13"/>
        <v>0</v>
      </c>
      <c r="V119" s="39">
        <f t="shared" si="13"/>
        <v>0</v>
      </c>
      <c r="W119" s="39">
        <f t="shared" ref="W119:AD119" si="14">SUM(W84:W118)</f>
        <v>0</v>
      </c>
      <c r="X119" s="39">
        <f t="shared" si="14"/>
        <v>0</v>
      </c>
      <c r="Y119" s="39">
        <f t="shared" si="14"/>
        <v>0</v>
      </c>
      <c r="Z119" s="39">
        <f t="shared" si="14"/>
        <v>0</v>
      </c>
      <c r="AA119" s="39">
        <f t="shared" si="14"/>
        <v>0</v>
      </c>
      <c r="AB119" s="39">
        <f t="shared" si="14"/>
        <v>0</v>
      </c>
      <c r="AC119" s="38">
        <f t="shared" si="14"/>
        <v>277</v>
      </c>
      <c r="AD119" s="40">
        <f t="shared" si="14"/>
        <v>100.00000000000003</v>
      </c>
      <c r="AE119" s="43"/>
      <c r="AF119" s="44">
        <f>SUM(AF84:AF118)</f>
        <v>127</v>
      </c>
      <c r="AG119" s="44">
        <f t="shared" ref="AG119:AT119" si="15">SUM(AG84:AG118)</f>
        <v>6</v>
      </c>
      <c r="AH119" s="45">
        <f t="shared" si="15"/>
        <v>133</v>
      </c>
      <c r="AI119" s="44">
        <f t="shared" si="15"/>
        <v>0</v>
      </c>
      <c r="AJ119" s="44">
        <f t="shared" si="15"/>
        <v>0</v>
      </c>
      <c r="AK119" s="44">
        <f t="shared" si="15"/>
        <v>0</v>
      </c>
      <c r="AL119" s="44">
        <f t="shared" si="15"/>
        <v>0</v>
      </c>
      <c r="AM119" s="44">
        <f t="shared" si="15"/>
        <v>3</v>
      </c>
      <c r="AN119" s="44">
        <f t="shared" si="15"/>
        <v>6</v>
      </c>
      <c r="AO119" s="44">
        <f t="shared" si="15"/>
        <v>11</v>
      </c>
      <c r="AP119" s="44">
        <f t="shared" si="15"/>
        <v>100</v>
      </c>
      <c r="AQ119" s="44">
        <f t="shared" si="15"/>
        <v>5</v>
      </c>
      <c r="AR119" s="44">
        <f t="shared" si="15"/>
        <v>8</v>
      </c>
      <c r="AS119" s="44">
        <f t="shared" si="15"/>
        <v>0</v>
      </c>
      <c r="AT119" s="45">
        <f t="shared" si="15"/>
        <v>133</v>
      </c>
    </row>
    <row r="120" spans="16:49" ht="15.75" thickBot="1" x14ac:dyDescent="0.3">
      <c r="P120" s="6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14"/>
      <c r="AE120" s="6"/>
      <c r="AF120" s="15"/>
      <c r="AG120" s="15"/>
      <c r="AH120" s="16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6"/>
      <c r="AW120" t="s">
        <v>20</v>
      </c>
    </row>
    <row r="121" spans="16:49" ht="45.6" customHeight="1" thickBot="1" x14ac:dyDescent="0.3">
      <c r="P121" s="192" t="s">
        <v>200</v>
      </c>
      <c r="Q121" s="193"/>
      <c r="R121" s="193"/>
      <c r="S121" s="193"/>
      <c r="T121" s="193"/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4"/>
      <c r="AE121" s="6"/>
      <c r="AF121" s="192" t="s">
        <v>201</v>
      </c>
      <c r="AG121" s="193"/>
      <c r="AH121" s="193"/>
      <c r="AI121" s="193"/>
      <c r="AJ121" s="193"/>
      <c r="AK121" s="193"/>
      <c r="AL121" s="193"/>
      <c r="AM121" s="193"/>
      <c r="AN121" s="193"/>
      <c r="AO121" s="193"/>
      <c r="AP121" s="193"/>
      <c r="AQ121" s="193"/>
      <c r="AR121" s="193"/>
      <c r="AS121" s="193"/>
      <c r="AT121" s="194"/>
    </row>
    <row r="122" spans="16:49" ht="19.899999999999999" customHeight="1" thickBot="1" x14ac:dyDescent="0.3">
      <c r="P122" s="189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1"/>
      <c r="AE122" s="6"/>
      <c r="AF122" s="183" t="s">
        <v>51</v>
      </c>
      <c r="AG122" s="184"/>
      <c r="AH122" s="184"/>
      <c r="AI122" s="184" t="s">
        <v>52</v>
      </c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95"/>
    </row>
    <row r="123" spans="16:49" ht="54" customHeight="1" x14ac:dyDescent="0.25">
      <c r="P123" s="36" t="s">
        <v>96</v>
      </c>
      <c r="Q123" s="30" t="s">
        <v>22</v>
      </c>
      <c r="R123" s="30" t="s">
        <v>23</v>
      </c>
      <c r="S123" s="30" t="s">
        <v>24</v>
      </c>
      <c r="T123" s="30" t="s">
        <v>25</v>
      </c>
      <c r="U123" s="30" t="s">
        <v>26</v>
      </c>
      <c r="V123" s="30" t="s">
        <v>27</v>
      </c>
      <c r="W123" s="30" t="s">
        <v>87</v>
      </c>
      <c r="X123" s="30" t="s">
        <v>29</v>
      </c>
      <c r="Y123" s="30" t="s">
        <v>30</v>
      </c>
      <c r="Z123" s="30" t="s">
        <v>31</v>
      </c>
      <c r="AA123" s="30" t="s">
        <v>32</v>
      </c>
      <c r="AB123" s="30" t="s">
        <v>33</v>
      </c>
      <c r="AC123" s="30" t="s">
        <v>34</v>
      </c>
      <c r="AD123" s="31" t="s">
        <v>35</v>
      </c>
      <c r="AE123" s="6"/>
      <c r="AF123" s="32" t="s">
        <v>49</v>
      </c>
      <c r="AG123" s="32" t="s">
        <v>50</v>
      </c>
      <c r="AH123" s="33" t="s">
        <v>9</v>
      </c>
      <c r="AI123" s="34" t="s">
        <v>0</v>
      </c>
      <c r="AJ123" s="34" t="s">
        <v>1</v>
      </c>
      <c r="AK123" s="34" t="s">
        <v>2</v>
      </c>
      <c r="AL123" s="34" t="s">
        <v>3</v>
      </c>
      <c r="AM123" s="34" t="s">
        <v>4</v>
      </c>
      <c r="AN123" s="34" t="s">
        <v>5</v>
      </c>
      <c r="AO123" s="34" t="s">
        <v>6</v>
      </c>
      <c r="AP123" s="34" t="s">
        <v>8</v>
      </c>
      <c r="AQ123" s="34" t="s">
        <v>10</v>
      </c>
      <c r="AR123" s="34" t="s">
        <v>11</v>
      </c>
      <c r="AS123" s="34" t="s">
        <v>7</v>
      </c>
      <c r="AT123" s="35" t="s">
        <v>48</v>
      </c>
    </row>
    <row r="124" spans="16:49" ht="38.25" customHeight="1" x14ac:dyDescent="0.25">
      <c r="P124" s="110" t="s">
        <v>56</v>
      </c>
      <c r="Q124" s="25"/>
      <c r="R124" s="25">
        <f>1</f>
        <v>1</v>
      </c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>
        <f>SUM(Q124:AB124)</f>
        <v>1</v>
      </c>
      <c r="AD124" s="20">
        <f>AC124/AC159*100</f>
        <v>7.1428571428571423</v>
      </c>
      <c r="AE124" s="6"/>
      <c r="AF124" s="17">
        <f>1</f>
        <v>1</v>
      </c>
      <c r="AG124" s="17"/>
      <c r="AH124" s="18">
        <f t="shared" si="6"/>
        <v>1</v>
      </c>
      <c r="AI124" s="17"/>
      <c r="AJ124" s="17"/>
      <c r="AK124" s="17"/>
      <c r="AL124" s="17"/>
      <c r="AM124" s="17"/>
      <c r="AN124" s="17"/>
      <c r="AO124" s="17"/>
      <c r="AP124" s="17">
        <f>1</f>
        <v>1</v>
      </c>
      <c r="AQ124" s="17"/>
      <c r="AR124" s="17"/>
      <c r="AS124" s="17"/>
      <c r="AT124" s="18">
        <f t="shared" si="7"/>
        <v>1</v>
      </c>
    </row>
    <row r="125" spans="16:49" ht="40.5" customHeight="1" x14ac:dyDescent="0.25">
      <c r="P125" s="110" t="s">
        <v>57</v>
      </c>
      <c r="Q125" s="25"/>
      <c r="R125" s="51"/>
      <c r="S125" s="25">
        <f>1</f>
        <v>1</v>
      </c>
      <c r="T125" s="25"/>
      <c r="U125" s="25"/>
      <c r="V125" s="25"/>
      <c r="W125" s="25"/>
      <c r="X125" s="25"/>
      <c r="Y125" s="25"/>
      <c r="Z125" s="25"/>
      <c r="AA125" s="25"/>
      <c r="AB125" s="25"/>
      <c r="AC125" s="25">
        <f t="shared" ref="AC125:AC158" si="16">SUM(Q125:AB125)</f>
        <v>1</v>
      </c>
      <c r="AD125" s="20">
        <f>AC125/AC159*100</f>
        <v>7.1428571428571423</v>
      </c>
      <c r="AE125" s="6"/>
      <c r="AF125" s="10">
        <f>1</f>
        <v>1</v>
      </c>
      <c r="AG125" s="10"/>
      <c r="AH125" s="11">
        <f t="shared" si="6"/>
        <v>1</v>
      </c>
      <c r="AI125" s="10"/>
      <c r="AJ125" s="10"/>
      <c r="AK125" s="10"/>
      <c r="AL125" s="10"/>
      <c r="AM125" s="10"/>
      <c r="AN125" s="10"/>
      <c r="AO125" s="10"/>
      <c r="AP125" s="10">
        <f>1</f>
        <v>1</v>
      </c>
      <c r="AQ125" s="10"/>
      <c r="AR125" s="10"/>
      <c r="AS125" s="10"/>
      <c r="AT125" s="11">
        <f t="shared" si="7"/>
        <v>1</v>
      </c>
    </row>
    <row r="126" spans="16:49" ht="0.75" hidden="1" customHeight="1" x14ac:dyDescent="0.25">
      <c r="P126" s="110" t="s">
        <v>58</v>
      </c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>
        <f t="shared" si="16"/>
        <v>0</v>
      </c>
      <c r="AD126" s="20">
        <f>AC126/AC159*100</f>
        <v>0</v>
      </c>
      <c r="AE126" s="6"/>
      <c r="AF126" s="10"/>
      <c r="AG126" s="10"/>
      <c r="AH126" s="11">
        <f t="shared" si="6"/>
        <v>0</v>
      </c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1">
        <f t="shared" si="7"/>
        <v>0</v>
      </c>
    </row>
    <row r="127" spans="16:49" ht="48" hidden="1" customHeight="1" x14ac:dyDescent="0.25">
      <c r="P127" s="110" t="s">
        <v>172</v>
      </c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>
        <f t="shared" si="16"/>
        <v>0</v>
      </c>
      <c r="AD127" s="20">
        <f>AC127/AC159*100</f>
        <v>0</v>
      </c>
      <c r="AE127" s="6"/>
      <c r="AF127" s="10"/>
      <c r="AG127" s="10"/>
      <c r="AH127" s="11">
        <f t="shared" si="6"/>
        <v>0</v>
      </c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1">
        <f t="shared" si="7"/>
        <v>0</v>
      </c>
    </row>
    <row r="128" spans="16:49" ht="41.25" hidden="1" customHeight="1" x14ac:dyDescent="0.25">
      <c r="P128" s="110" t="s">
        <v>168</v>
      </c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>
        <f t="shared" si="16"/>
        <v>0</v>
      </c>
      <c r="AD128" s="20">
        <f>AC128/AC159*100</f>
        <v>0</v>
      </c>
      <c r="AE128" s="6"/>
      <c r="AF128" s="10"/>
      <c r="AG128" s="10"/>
      <c r="AH128" s="11">
        <f t="shared" si="6"/>
        <v>0</v>
      </c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1">
        <f t="shared" si="7"/>
        <v>0</v>
      </c>
    </row>
    <row r="129" spans="16:46" ht="34.5" customHeight="1" x14ac:dyDescent="0.25">
      <c r="P129" s="110" t="s">
        <v>173</v>
      </c>
      <c r="Q129" s="25"/>
      <c r="R129" s="25">
        <f>1+2+1</f>
        <v>4</v>
      </c>
      <c r="S129" s="25">
        <f>1+1+1</f>
        <v>3</v>
      </c>
      <c r="T129" s="25"/>
      <c r="U129" s="25"/>
      <c r="V129" s="25"/>
      <c r="W129" s="25"/>
      <c r="X129" s="25"/>
      <c r="Y129" s="25"/>
      <c r="Z129" s="25"/>
      <c r="AA129" s="25"/>
      <c r="AB129" s="25"/>
      <c r="AC129" s="25">
        <f t="shared" si="16"/>
        <v>7</v>
      </c>
      <c r="AD129" s="20">
        <f>AC129/AC159*100</f>
        <v>50</v>
      </c>
      <c r="AE129" s="6"/>
      <c r="AF129" s="10">
        <f>1+1+1+1+1</f>
        <v>5</v>
      </c>
      <c r="AG129" s="10">
        <f>2</f>
        <v>2</v>
      </c>
      <c r="AH129" s="11">
        <f t="shared" si="6"/>
        <v>7</v>
      </c>
      <c r="AI129" s="10"/>
      <c r="AJ129" s="10"/>
      <c r="AK129" s="10"/>
      <c r="AL129" s="10"/>
      <c r="AM129" s="10">
        <f>1</f>
        <v>1</v>
      </c>
      <c r="AN129" s="10"/>
      <c r="AO129" s="10">
        <f>1</f>
        <v>1</v>
      </c>
      <c r="AP129" s="10">
        <f>1+2+1+1</f>
        <v>5</v>
      </c>
      <c r="AQ129" s="10"/>
      <c r="AR129" s="10"/>
      <c r="AS129" s="10"/>
      <c r="AT129" s="11">
        <f t="shared" si="7"/>
        <v>7</v>
      </c>
    </row>
    <row r="130" spans="16:46" ht="59.25" customHeight="1" x14ac:dyDescent="0.25">
      <c r="P130" s="110" t="s">
        <v>161</v>
      </c>
      <c r="Q130" s="25"/>
      <c r="R130" s="25">
        <f>1</f>
        <v>1</v>
      </c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>
        <f t="shared" si="16"/>
        <v>1</v>
      </c>
      <c r="AD130" s="20">
        <f>AC130/AC159*100</f>
        <v>7.1428571428571423</v>
      </c>
      <c r="AE130" s="6"/>
      <c r="AF130" s="10">
        <v>0</v>
      </c>
      <c r="AG130" s="10"/>
      <c r="AH130" s="11">
        <f t="shared" si="6"/>
        <v>0</v>
      </c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1">
        <f t="shared" si="7"/>
        <v>0</v>
      </c>
    </row>
    <row r="131" spans="16:46" ht="32.25" hidden="1" customHeight="1" x14ac:dyDescent="0.25">
      <c r="P131" s="110" t="s">
        <v>174</v>
      </c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>
        <f t="shared" si="16"/>
        <v>0</v>
      </c>
      <c r="AD131" s="20">
        <f>AC131/AC159*100</f>
        <v>0</v>
      </c>
      <c r="AE131" s="6"/>
      <c r="AF131" s="10"/>
      <c r="AG131" s="10"/>
      <c r="AH131" s="11">
        <f t="shared" si="6"/>
        <v>0</v>
      </c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1">
        <f t="shared" si="7"/>
        <v>0</v>
      </c>
    </row>
    <row r="132" spans="16:46" ht="27.75" hidden="1" customHeight="1" x14ac:dyDescent="0.25">
      <c r="P132" s="110" t="s">
        <v>62</v>
      </c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>
        <f t="shared" si="16"/>
        <v>0</v>
      </c>
      <c r="AD132" s="20">
        <f>AC132/AC159*100</f>
        <v>0</v>
      </c>
      <c r="AE132" s="6"/>
      <c r="AF132" s="10"/>
      <c r="AG132" s="10"/>
      <c r="AH132" s="11">
        <f t="shared" si="6"/>
        <v>0</v>
      </c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1">
        <f t="shared" si="7"/>
        <v>0</v>
      </c>
    </row>
    <row r="133" spans="16:46" ht="20.25" hidden="1" customHeight="1" x14ac:dyDescent="0.25">
      <c r="P133" s="110" t="s">
        <v>37</v>
      </c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>
        <f t="shared" si="16"/>
        <v>0</v>
      </c>
      <c r="AD133" s="20">
        <f>AC133/AC159*100</f>
        <v>0</v>
      </c>
      <c r="AE133" s="6"/>
      <c r="AF133" s="10"/>
      <c r="AG133" s="10"/>
      <c r="AH133" s="11">
        <f t="shared" si="6"/>
        <v>0</v>
      </c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1">
        <f t="shared" si="7"/>
        <v>0</v>
      </c>
    </row>
    <row r="134" spans="16:46" ht="48.75" hidden="1" customHeight="1" x14ac:dyDescent="0.25">
      <c r="P134" s="110" t="s">
        <v>162</v>
      </c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>
        <f t="shared" si="16"/>
        <v>0</v>
      </c>
      <c r="AD134" s="20">
        <f>AC134/AC159*100</f>
        <v>0</v>
      </c>
      <c r="AE134" s="6"/>
      <c r="AF134" s="10"/>
      <c r="AG134" s="10"/>
      <c r="AH134" s="11">
        <f t="shared" si="6"/>
        <v>0</v>
      </c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1">
        <f t="shared" si="7"/>
        <v>0</v>
      </c>
    </row>
    <row r="135" spans="16:46" ht="65.45" hidden="1" customHeight="1" x14ac:dyDescent="0.25">
      <c r="P135" s="110" t="s">
        <v>175</v>
      </c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>
        <f t="shared" si="16"/>
        <v>0</v>
      </c>
      <c r="AD135" s="20">
        <f>AC135/AC159*100</f>
        <v>0</v>
      </c>
      <c r="AE135" s="6"/>
      <c r="AF135" s="10"/>
      <c r="AG135" s="10"/>
      <c r="AH135" s="11">
        <f t="shared" si="6"/>
        <v>0</v>
      </c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1">
        <f t="shared" si="7"/>
        <v>0</v>
      </c>
    </row>
    <row r="136" spans="16:46" ht="30" hidden="1" customHeight="1" x14ac:dyDescent="0.25">
      <c r="P136" s="110" t="s">
        <v>176</v>
      </c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>
        <f t="shared" si="16"/>
        <v>0</v>
      </c>
      <c r="AD136" s="20">
        <f>AC136/AC159*100</f>
        <v>0</v>
      </c>
      <c r="AE136" s="6"/>
      <c r="AF136" s="10"/>
      <c r="AG136" s="10"/>
      <c r="AH136" s="11">
        <f t="shared" ref="AH136:AH158" si="17">AF136+AG136</f>
        <v>0</v>
      </c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1">
        <f t="shared" ref="AT136:AT158" si="18">AS136+AR136+AQ136+AP136+AO136+AN136+AM136+AL136+AK136+AJ136+AI136</f>
        <v>0</v>
      </c>
    </row>
    <row r="137" spans="16:46" ht="39" hidden="1" customHeight="1" x14ac:dyDescent="0.25">
      <c r="P137" s="110" t="s">
        <v>110</v>
      </c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>
        <f t="shared" si="16"/>
        <v>0</v>
      </c>
      <c r="AD137" s="20">
        <f>AC137/AC159*100</f>
        <v>0</v>
      </c>
      <c r="AE137" s="6"/>
      <c r="AF137" s="10"/>
      <c r="AG137" s="10"/>
      <c r="AH137" s="11">
        <f t="shared" si="17"/>
        <v>0</v>
      </c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1">
        <f t="shared" si="18"/>
        <v>0</v>
      </c>
    </row>
    <row r="138" spans="16:46" ht="48.75" hidden="1" customHeight="1" x14ac:dyDescent="0.25">
      <c r="P138" s="110" t="s">
        <v>103</v>
      </c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>
        <f t="shared" si="16"/>
        <v>0</v>
      </c>
      <c r="AD138" s="20">
        <f>AC138/AC159*100</f>
        <v>0</v>
      </c>
      <c r="AE138" s="6"/>
      <c r="AF138" s="10"/>
      <c r="AG138" s="10"/>
      <c r="AH138" s="11">
        <f t="shared" si="17"/>
        <v>0</v>
      </c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1">
        <f t="shared" si="18"/>
        <v>0</v>
      </c>
    </row>
    <row r="139" spans="16:46" ht="38.25" hidden="1" customHeight="1" x14ac:dyDescent="0.25">
      <c r="P139" s="110" t="s">
        <v>108</v>
      </c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>
        <f t="shared" si="16"/>
        <v>0</v>
      </c>
      <c r="AD139" s="20">
        <f>AC139/AC159*100</f>
        <v>0</v>
      </c>
      <c r="AE139" s="6"/>
      <c r="AF139" s="10"/>
      <c r="AG139" s="10"/>
      <c r="AH139" s="11">
        <f t="shared" si="17"/>
        <v>0</v>
      </c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1">
        <f t="shared" si="18"/>
        <v>0</v>
      </c>
    </row>
    <row r="140" spans="16:46" ht="24.75" hidden="1" customHeight="1" x14ac:dyDescent="0.25">
      <c r="P140" s="110" t="s">
        <v>109</v>
      </c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>
        <f t="shared" si="16"/>
        <v>0</v>
      </c>
      <c r="AD140" s="20">
        <f>AC140/AC159*100</f>
        <v>0</v>
      </c>
      <c r="AE140" s="6"/>
      <c r="AF140" s="10"/>
      <c r="AG140" s="10"/>
      <c r="AH140" s="11">
        <f t="shared" si="17"/>
        <v>0</v>
      </c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1">
        <f t="shared" si="18"/>
        <v>0</v>
      </c>
    </row>
    <row r="141" spans="16:46" ht="21.75" hidden="1" customHeight="1" x14ac:dyDescent="0.25">
      <c r="P141" s="110" t="s">
        <v>97</v>
      </c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>
        <f t="shared" si="16"/>
        <v>0</v>
      </c>
      <c r="AD141" s="20">
        <f>AC141/AC159*100</f>
        <v>0</v>
      </c>
      <c r="AE141" s="6"/>
      <c r="AF141" s="10"/>
      <c r="AG141" s="10"/>
      <c r="AH141" s="11">
        <f t="shared" si="17"/>
        <v>0</v>
      </c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1">
        <f t="shared" si="18"/>
        <v>0</v>
      </c>
    </row>
    <row r="142" spans="16:46" ht="57.75" hidden="1" customHeight="1" x14ac:dyDescent="0.25">
      <c r="P142" s="110" t="s">
        <v>61</v>
      </c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>
        <f>SUM(Q142:AB142)</f>
        <v>0</v>
      </c>
      <c r="AD142" s="20">
        <f>AC142/AC159*100</f>
        <v>0</v>
      </c>
      <c r="AE142" s="6"/>
      <c r="AF142" s="10"/>
      <c r="AG142" s="10"/>
      <c r="AH142" s="11">
        <f t="shared" si="17"/>
        <v>0</v>
      </c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1">
        <f t="shared" si="18"/>
        <v>0</v>
      </c>
    </row>
    <row r="143" spans="16:46" ht="38.25" hidden="1" customHeight="1" x14ac:dyDescent="0.25">
      <c r="P143" s="110" t="s">
        <v>163</v>
      </c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>
        <f t="shared" si="16"/>
        <v>0</v>
      </c>
      <c r="AD143" s="20">
        <f>AC143/AC159*100</f>
        <v>0</v>
      </c>
      <c r="AE143" s="6"/>
      <c r="AF143" s="10"/>
      <c r="AG143" s="10"/>
      <c r="AH143" s="11">
        <f t="shared" si="17"/>
        <v>0</v>
      </c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1">
        <f t="shared" si="18"/>
        <v>0</v>
      </c>
    </row>
    <row r="144" spans="16:46" ht="11.25" hidden="1" customHeight="1" x14ac:dyDescent="0.25">
      <c r="P144" s="110" t="s">
        <v>38</v>
      </c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>
        <f t="shared" si="16"/>
        <v>0</v>
      </c>
      <c r="AD144" s="20">
        <f>AC144/AC159*100</f>
        <v>0</v>
      </c>
      <c r="AE144" s="6"/>
      <c r="AF144" s="10"/>
      <c r="AG144" s="10"/>
      <c r="AH144" s="11">
        <f t="shared" si="17"/>
        <v>0</v>
      </c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1">
        <f t="shared" si="18"/>
        <v>0</v>
      </c>
    </row>
    <row r="145" spans="16:46" ht="46.5" customHeight="1" x14ac:dyDescent="0.25">
      <c r="P145" s="110" t="s">
        <v>111</v>
      </c>
      <c r="Q145" s="25">
        <f>1</f>
        <v>1</v>
      </c>
      <c r="R145" s="25">
        <f>1</f>
        <v>1</v>
      </c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>
        <f t="shared" si="16"/>
        <v>2</v>
      </c>
      <c r="AD145" s="20">
        <f>AC145/AC159*100</f>
        <v>14.285714285714285</v>
      </c>
      <c r="AE145" s="6"/>
      <c r="AF145" s="10">
        <f>1</f>
        <v>1</v>
      </c>
      <c r="AG145" s="10">
        <f>1</f>
        <v>1</v>
      </c>
      <c r="AH145" s="11">
        <f t="shared" si="17"/>
        <v>2</v>
      </c>
      <c r="AI145" s="10"/>
      <c r="AJ145" s="10"/>
      <c r="AK145" s="10"/>
      <c r="AL145" s="10"/>
      <c r="AM145" s="10"/>
      <c r="AN145" s="10"/>
      <c r="AO145" s="10"/>
      <c r="AP145" s="10">
        <f>1+1</f>
        <v>2</v>
      </c>
      <c r="AQ145" s="10"/>
      <c r="AR145" s="10"/>
      <c r="AS145" s="10"/>
      <c r="AT145" s="11">
        <f t="shared" si="18"/>
        <v>2</v>
      </c>
    </row>
    <row r="146" spans="16:46" ht="12" hidden="1" customHeight="1" x14ac:dyDescent="0.25">
      <c r="P146" s="110" t="s">
        <v>39</v>
      </c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>
        <f t="shared" si="16"/>
        <v>0</v>
      </c>
      <c r="AD146" s="20">
        <f>AC146/AC159*100</f>
        <v>0</v>
      </c>
      <c r="AE146" s="6"/>
      <c r="AF146" s="10"/>
      <c r="AG146" s="10"/>
      <c r="AH146" s="11">
        <f t="shared" si="17"/>
        <v>0</v>
      </c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1">
        <f t="shared" si="18"/>
        <v>0</v>
      </c>
    </row>
    <row r="147" spans="16:46" ht="26.25" hidden="1" customHeight="1" x14ac:dyDescent="0.25">
      <c r="P147" s="110" t="s">
        <v>121</v>
      </c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>
        <f t="shared" si="16"/>
        <v>0</v>
      </c>
      <c r="AD147" s="20">
        <f>AC147/AC159*100</f>
        <v>0</v>
      </c>
      <c r="AE147" s="6"/>
      <c r="AF147" s="10"/>
      <c r="AG147" s="10"/>
      <c r="AH147" s="11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1"/>
    </row>
    <row r="148" spans="16:46" ht="21.75" hidden="1" customHeight="1" x14ac:dyDescent="0.25">
      <c r="P148" s="110" t="s">
        <v>40</v>
      </c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>
        <f t="shared" si="16"/>
        <v>0</v>
      </c>
      <c r="AD148" s="20">
        <f>AC148/AC159*100</f>
        <v>0</v>
      </c>
      <c r="AE148" s="6"/>
      <c r="AF148" s="10"/>
      <c r="AG148" s="10"/>
      <c r="AH148" s="11">
        <f t="shared" si="17"/>
        <v>0</v>
      </c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1">
        <f t="shared" si="18"/>
        <v>0</v>
      </c>
    </row>
    <row r="149" spans="16:46" ht="30.75" hidden="1" customHeight="1" x14ac:dyDescent="0.25">
      <c r="P149" s="110" t="s">
        <v>164</v>
      </c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>
        <f t="shared" si="16"/>
        <v>0</v>
      </c>
      <c r="AD149" s="20">
        <f>AC149/AC159*100</f>
        <v>0</v>
      </c>
      <c r="AE149" s="6"/>
      <c r="AF149" s="10"/>
      <c r="AG149" s="10"/>
      <c r="AH149" s="11">
        <f t="shared" si="17"/>
        <v>0</v>
      </c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1">
        <f t="shared" si="18"/>
        <v>0</v>
      </c>
    </row>
    <row r="150" spans="16:46" ht="39.75" customHeight="1" x14ac:dyDescent="0.25">
      <c r="P150" s="110" t="s">
        <v>177</v>
      </c>
      <c r="Q150" s="25"/>
      <c r="R150" s="25">
        <f>1</f>
        <v>1</v>
      </c>
      <c r="S150" s="25">
        <f>1</f>
        <v>1</v>
      </c>
      <c r="T150" s="25"/>
      <c r="U150" s="25"/>
      <c r="V150" s="25"/>
      <c r="W150" s="25"/>
      <c r="X150" s="25"/>
      <c r="Y150" s="25"/>
      <c r="Z150" s="25"/>
      <c r="AA150" s="25"/>
      <c r="AB150" s="25"/>
      <c r="AC150" s="25">
        <f t="shared" si="16"/>
        <v>2</v>
      </c>
      <c r="AD150" s="20">
        <f>AC150/AC159*100</f>
        <v>14.285714285714285</v>
      </c>
      <c r="AE150" s="6"/>
      <c r="AF150" s="10">
        <v>0</v>
      </c>
      <c r="AG150" s="10">
        <f>1</f>
        <v>1</v>
      </c>
      <c r="AH150" s="11">
        <f t="shared" si="17"/>
        <v>1</v>
      </c>
      <c r="AI150" s="10"/>
      <c r="AJ150" s="10"/>
      <c r="AK150" s="10"/>
      <c r="AL150" s="10"/>
      <c r="AM150" s="128"/>
      <c r="AN150" s="10"/>
      <c r="AO150" s="10"/>
      <c r="AP150" s="10">
        <f>1</f>
        <v>1</v>
      </c>
      <c r="AQ150" s="10"/>
      <c r="AR150" s="10"/>
      <c r="AS150" s="10"/>
      <c r="AT150" s="11">
        <f t="shared" si="18"/>
        <v>1</v>
      </c>
    </row>
    <row r="151" spans="16:46" ht="28.5" hidden="1" x14ac:dyDescent="0.25">
      <c r="P151" s="110" t="s">
        <v>178</v>
      </c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>
        <f t="shared" si="16"/>
        <v>0</v>
      </c>
      <c r="AD151" s="20">
        <f>AC151/AC159*100</f>
        <v>0</v>
      </c>
      <c r="AE151" s="6"/>
      <c r="AF151" s="10"/>
      <c r="AG151" s="10"/>
      <c r="AH151" s="11">
        <f t="shared" si="17"/>
        <v>0</v>
      </c>
      <c r="AI151" s="10">
        <f t="shared" ref="AI151:AI156" si="19">SUM(AH151)</f>
        <v>0</v>
      </c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1">
        <f t="shared" si="18"/>
        <v>0</v>
      </c>
    </row>
    <row r="152" spans="16:46" ht="41.25" hidden="1" customHeight="1" x14ac:dyDescent="0.25">
      <c r="P152" s="110" t="s">
        <v>179</v>
      </c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>
        <f t="shared" si="16"/>
        <v>0</v>
      </c>
      <c r="AD152" s="20">
        <f>AC152/AC159*100</f>
        <v>0</v>
      </c>
      <c r="AE152" s="6"/>
      <c r="AF152" s="10"/>
      <c r="AG152" s="10"/>
      <c r="AH152" s="11">
        <f t="shared" si="17"/>
        <v>0</v>
      </c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1">
        <f t="shared" si="18"/>
        <v>0</v>
      </c>
    </row>
    <row r="153" spans="16:46" ht="21.75" hidden="1" customHeight="1" x14ac:dyDescent="0.25">
      <c r="P153" s="110" t="s">
        <v>180</v>
      </c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>
        <f t="shared" si="16"/>
        <v>0</v>
      </c>
      <c r="AD153" s="20">
        <f>AC153/AC159*100</f>
        <v>0</v>
      </c>
      <c r="AE153" s="6"/>
      <c r="AF153" s="10"/>
      <c r="AG153" s="10"/>
      <c r="AH153" s="11">
        <f t="shared" si="17"/>
        <v>0</v>
      </c>
      <c r="AI153" s="10">
        <f t="shared" si="19"/>
        <v>0</v>
      </c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1">
        <f t="shared" si="18"/>
        <v>0</v>
      </c>
    </row>
    <row r="154" spans="16:46" ht="48" hidden="1" customHeight="1" x14ac:dyDescent="0.25">
      <c r="P154" s="110" t="s">
        <v>104</v>
      </c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>
        <f t="shared" si="16"/>
        <v>0</v>
      </c>
      <c r="AD154" s="20">
        <f>AC154/AC159*100</f>
        <v>0</v>
      </c>
      <c r="AE154" s="6"/>
      <c r="AF154" s="10"/>
      <c r="AG154" s="10"/>
      <c r="AH154" s="11">
        <f t="shared" si="17"/>
        <v>0</v>
      </c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1">
        <f t="shared" si="18"/>
        <v>0</v>
      </c>
    </row>
    <row r="155" spans="16:46" ht="51.6" hidden="1" customHeight="1" x14ac:dyDescent="0.25">
      <c r="P155" s="110" t="s">
        <v>41</v>
      </c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>
        <f t="shared" si="16"/>
        <v>0</v>
      </c>
      <c r="AD155" s="20">
        <f>AC155/AC159*100</f>
        <v>0</v>
      </c>
      <c r="AE155" s="6"/>
      <c r="AF155" s="10"/>
      <c r="AG155" s="10"/>
      <c r="AH155" s="11">
        <f t="shared" si="17"/>
        <v>0</v>
      </c>
      <c r="AI155" s="10">
        <f t="shared" si="19"/>
        <v>0</v>
      </c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1">
        <f t="shared" si="18"/>
        <v>0</v>
      </c>
    </row>
    <row r="156" spans="16:46" ht="22.9" hidden="1" customHeight="1" x14ac:dyDescent="0.25">
      <c r="P156" s="110" t="s">
        <v>42</v>
      </c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>
        <f t="shared" si="16"/>
        <v>0</v>
      </c>
      <c r="AD156" s="20">
        <f>AC156/AC159*100</f>
        <v>0</v>
      </c>
      <c r="AE156" s="6"/>
      <c r="AF156" s="10"/>
      <c r="AG156" s="10"/>
      <c r="AH156" s="11">
        <f t="shared" si="17"/>
        <v>0</v>
      </c>
      <c r="AI156" s="10">
        <f t="shared" si="19"/>
        <v>0</v>
      </c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1">
        <f t="shared" si="18"/>
        <v>0</v>
      </c>
    </row>
    <row r="157" spans="16:46" ht="39.75" hidden="1" customHeight="1" x14ac:dyDescent="0.25">
      <c r="P157" s="110" t="s">
        <v>167</v>
      </c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>
        <f t="shared" si="16"/>
        <v>0</v>
      </c>
      <c r="AD157" s="20">
        <f>AC157/AC159*100</f>
        <v>0</v>
      </c>
      <c r="AE157" s="6"/>
      <c r="AF157" s="10"/>
      <c r="AG157" s="10"/>
      <c r="AH157" s="11">
        <f t="shared" si="17"/>
        <v>0</v>
      </c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1">
        <f t="shared" si="18"/>
        <v>0</v>
      </c>
    </row>
    <row r="158" spans="16:46" ht="30.75" hidden="1" customHeight="1" x14ac:dyDescent="0.25">
      <c r="P158" s="1" t="s">
        <v>54</v>
      </c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>
        <f t="shared" si="16"/>
        <v>0</v>
      </c>
      <c r="AD158" s="20">
        <f>AC158/AC159*100</f>
        <v>0</v>
      </c>
      <c r="AE158" s="6"/>
      <c r="AF158" s="10"/>
      <c r="AG158" s="10"/>
      <c r="AH158" s="11">
        <f t="shared" si="17"/>
        <v>0</v>
      </c>
      <c r="AI158" s="10">
        <f>SUM(AH158)</f>
        <v>0</v>
      </c>
      <c r="AJ158" s="10">
        <f>SUM(AI158)</f>
        <v>0</v>
      </c>
      <c r="AK158" s="10"/>
      <c r="AL158" s="10"/>
      <c r="AM158" s="10"/>
      <c r="AN158" s="10"/>
      <c r="AO158" s="10"/>
      <c r="AP158" s="10"/>
      <c r="AQ158" s="10"/>
      <c r="AR158" s="10"/>
      <c r="AS158" s="10"/>
      <c r="AT158" s="11">
        <f t="shared" si="18"/>
        <v>0</v>
      </c>
    </row>
    <row r="159" spans="16:46" ht="18.75" customHeight="1" x14ac:dyDescent="0.25">
      <c r="P159" s="24" t="s">
        <v>19</v>
      </c>
      <c r="Q159" s="39">
        <f t="shared" ref="Q159:V159" si="20">SUM(Q124:Q158)</f>
        <v>1</v>
      </c>
      <c r="R159" s="39">
        <f t="shared" si="20"/>
        <v>8</v>
      </c>
      <c r="S159" s="39">
        <f t="shared" si="20"/>
        <v>5</v>
      </c>
      <c r="T159" s="39">
        <f t="shared" si="20"/>
        <v>0</v>
      </c>
      <c r="U159" s="39">
        <f t="shared" si="20"/>
        <v>0</v>
      </c>
      <c r="V159" s="39">
        <f t="shared" si="20"/>
        <v>0</v>
      </c>
      <c r="W159" s="39">
        <f t="shared" ref="W159:AD159" si="21">SUM(W124:W158)</f>
        <v>0</v>
      </c>
      <c r="X159" s="39">
        <f t="shared" si="21"/>
        <v>0</v>
      </c>
      <c r="Y159" s="39">
        <f t="shared" si="21"/>
        <v>0</v>
      </c>
      <c r="Z159" s="39">
        <f t="shared" si="21"/>
        <v>0</v>
      </c>
      <c r="AA159" s="39">
        <f t="shared" si="21"/>
        <v>0</v>
      </c>
      <c r="AB159" s="39">
        <f t="shared" si="21"/>
        <v>0</v>
      </c>
      <c r="AC159" s="38">
        <f t="shared" si="21"/>
        <v>14</v>
      </c>
      <c r="AD159" s="40">
        <f t="shared" si="21"/>
        <v>99.999999999999972</v>
      </c>
      <c r="AE159" s="43"/>
      <c r="AF159" s="44">
        <f>SUM(AF124:AF158)</f>
        <v>8</v>
      </c>
      <c r="AG159" s="44">
        <f t="shared" ref="AG159:AT159" si="22">SUM(AG124:AG158)</f>
        <v>4</v>
      </c>
      <c r="AH159" s="45">
        <f t="shared" si="22"/>
        <v>12</v>
      </c>
      <c r="AI159" s="44">
        <f t="shared" si="22"/>
        <v>0</v>
      </c>
      <c r="AJ159" s="44">
        <f t="shared" si="22"/>
        <v>0</v>
      </c>
      <c r="AK159" s="44">
        <f t="shared" si="22"/>
        <v>0</v>
      </c>
      <c r="AL159" s="44">
        <f t="shared" si="22"/>
        <v>0</v>
      </c>
      <c r="AM159" s="44">
        <f t="shared" si="22"/>
        <v>1</v>
      </c>
      <c r="AN159" s="44">
        <f t="shared" si="22"/>
        <v>0</v>
      </c>
      <c r="AO159" s="44">
        <f t="shared" si="22"/>
        <v>1</v>
      </c>
      <c r="AP159" s="44">
        <f t="shared" si="22"/>
        <v>10</v>
      </c>
      <c r="AQ159" s="44">
        <f t="shared" si="22"/>
        <v>0</v>
      </c>
      <c r="AR159" s="44">
        <f t="shared" si="22"/>
        <v>0</v>
      </c>
      <c r="AS159" s="44">
        <f t="shared" si="22"/>
        <v>0</v>
      </c>
      <c r="AT159" s="45">
        <f t="shared" si="22"/>
        <v>12</v>
      </c>
    </row>
    <row r="160" spans="16:46" ht="20.25" customHeight="1" x14ac:dyDescent="0.25">
      <c r="P160" s="6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14"/>
      <c r="AE160" s="6"/>
      <c r="AF160" s="15"/>
      <c r="AG160" s="15"/>
      <c r="AH160" s="16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6"/>
    </row>
    <row r="161" spans="16:46" x14ac:dyDescent="0.25">
      <c r="P161" s="6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14"/>
      <c r="AE161" s="6"/>
      <c r="AF161" s="51"/>
      <c r="AG161" s="51"/>
      <c r="AH161" s="7"/>
      <c r="AI161" s="51"/>
      <c r="AJ161" s="51"/>
      <c r="AK161" s="51"/>
      <c r="AL161" s="51"/>
      <c r="AM161" s="51"/>
      <c r="AN161" s="51"/>
      <c r="AO161" s="51"/>
      <c r="AP161" s="51"/>
      <c r="AQ161" s="51"/>
      <c r="AR161" s="51"/>
      <c r="AS161" s="51"/>
      <c r="AT161" s="7"/>
    </row>
    <row r="162" spans="16:46" ht="30" customHeight="1" x14ac:dyDescent="0.25">
      <c r="P162" s="186" t="s">
        <v>202</v>
      </c>
      <c r="Q162" s="187"/>
      <c r="R162" s="187"/>
      <c r="S162" s="187"/>
      <c r="T162" s="188"/>
      <c r="U162" s="51"/>
      <c r="V162" s="51"/>
      <c r="W162" s="51"/>
      <c r="X162" s="51"/>
      <c r="Y162" s="51"/>
      <c r="Z162" s="51"/>
      <c r="AA162" s="51"/>
      <c r="AB162" s="51"/>
      <c r="AC162" s="51"/>
      <c r="AD162" s="14"/>
      <c r="AE162" s="6"/>
      <c r="AF162" s="51"/>
      <c r="AG162" s="51"/>
      <c r="AH162" s="7"/>
      <c r="AI162" s="51"/>
      <c r="AJ162" s="51"/>
      <c r="AK162" s="51"/>
      <c r="AL162" s="51"/>
      <c r="AM162" s="51"/>
      <c r="AN162" s="51"/>
      <c r="AO162" s="51"/>
      <c r="AP162" s="51"/>
      <c r="AQ162" s="51"/>
      <c r="AR162" s="51"/>
      <c r="AS162" s="51"/>
      <c r="AT162" s="7"/>
    </row>
    <row r="163" spans="16:46" ht="15.75" x14ac:dyDescent="0.25">
      <c r="P163" s="111"/>
      <c r="Q163" s="185" t="s">
        <v>9</v>
      </c>
      <c r="R163" s="185"/>
      <c r="S163" s="185" t="s">
        <v>35</v>
      </c>
      <c r="T163" s="185"/>
      <c r="U163" s="51"/>
      <c r="V163" s="51"/>
      <c r="W163" s="51"/>
      <c r="X163" s="51"/>
      <c r="Y163" s="51"/>
      <c r="Z163" s="51"/>
      <c r="AA163" s="51"/>
      <c r="AB163" s="51"/>
      <c r="AC163" s="51"/>
      <c r="AD163" s="14"/>
      <c r="AE163" s="6"/>
      <c r="AF163" s="51"/>
      <c r="AG163" s="51"/>
      <c r="AH163" s="7"/>
      <c r="AI163" s="51"/>
      <c r="AJ163" s="51"/>
      <c r="AK163" s="51"/>
      <c r="AL163" s="51"/>
      <c r="AM163" s="51"/>
      <c r="AN163" s="51"/>
      <c r="AO163" s="51"/>
      <c r="AP163" s="51"/>
      <c r="AQ163" s="51"/>
      <c r="AR163" s="51"/>
      <c r="AS163" s="51"/>
      <c r="AT163" s="7"/>
    </row>
    <row r="164" spans="16:46" ht="15.75" x14ac:dyDescent="0.25">
      <c r="P164" s="112" t="s">
        <v>45</v>
      </c>
      <c r="Q164" s="182">
        <f>AC40+AC78</f>
        <v>496</v>
      </c>
      <c r="R164" s="182"/>
      <c r="S164" s="181">
        <f>Q164/Q167*100</f>
        <v>63.024142312579414</v>
      </c>
      <c r="T164" s="181"/>
      <c r="U164" s="51"/>
      <c r="V164" s="51"/>
      <c r="W164" s="51"/>
      <c r="X164" s="51"/>
      <c r="Y164" s="51"/>
      <c r="Z164" s="51"/>
      <c r="AA164" s="51"/>
      <c r="AB164" s="51"/>
      <c r="AC164" s="51"/>
      <c r="AD164" s="14"/>
      <c r="AE164" s="6"/>
      <c r="AF164" s="51"/>
      <c r="AG164" s="51"/>
      <c r="AH164" s="7"/>
      <c r="AI164" s="51"/>
      <c r="AJ164" s="51"/>
      <c r="AK164" s="51"/>
      <c r="AL164" s="51"/>
      <c r="AM164" s="51"/>
      <c r="AN164" s="51"/>
      <c r="AO164" s="51"/>
      <c r="AP164" s="51"/>
      <c r="AQ164" s="51"/>
      <c r="AR164" s="51"/>
      <c r="AS164" s="51"/>
      <c r="AT164" s="7"/>
    </row>
    <row r="165" spans="16:46" ht="15.75" x14ac:dyDescent="0.25">
      <c r="P165" s="112" t="s">
        <v>46</v>
      </c>
      <c r="Q165" s="179">
        <f>AC119+AC159</f>
        <v>291</v>
      </c>
      <c r="R165" s="180"/>
      <c r="S165" s="181">
        <f>Q165/Q167*100</f>
        <v>36.975857687420586</v>
      </c>
      <c r="T165" s="181"/>
      <c r="U165" s="51"/>
      <c r="V165" s="51"/>
      <c r="W165" s="51"/>
      <c r="X165" s="51"/>
      <c r="Y165" s="51"/>
      <c r="Z165" s="51"/>
      <c r="AA165" s="51"/>
      <c r="AB165" s="51"/>
      <c r="AC165" s="51"/>
      <c r="AD165" s="14"/>
      <c r="AE165" s="6"/>
      <c r="AF165" s="51"/>
      <c r="AG165" s="51"/>
      <c r="AH165" s="7"/>
      <c r="AI165" s="51"/>
      <c r="AJ165" s="51"/>
      <c r="AK165" s="51"/>
      <c r="AL165" s="51"/>
      <c r="AM165" s="51"/>
      <c r="AN165" s="51"/>
      <c r="AO165" s="51"/>
      <c r="AP165" s="51"/>
      <c r="AQ165" s="51"/>
      <c r="AR165" s="51"/>
      <c r="AS165" s="51"/>
      <c r="AT165" s="7"/>
    </row>
    <row r="166" spans="16:46" ht="15.75" x14ac:dyDescent="0.25">
      <c r="P166" s="112" t="s">
        <v>47</v>
      </c>
      <c r="Q166" s="179">
        <v>0</v>
      </c>
      <c r="R166" s="180"/>
      <c r="S166" s="181">
        <f>Q166/Q167*100</f>
        <v>0</v>
      </c>
      <c r="T166" s="181"/>
      <c r="U166" s="51"/>
      <c r="V166" s="51"/>
      <c r="W166" s="51"/>
      <c r="X166" s="51"/>
      <c r="Y166" s="51"/>
      <c r="Z166" s="51"/>
      <c r="AA166" s="51"/>
      <c r="AB166" s="51"/>
      <c r="AC166" s="51"/>
      <c r="AD166" s="14"/>
      <c r="AE166" s="6"/>
      <c r="AF166" s="51"/>
      <c r="AG166" s="51"/>
      <c r="AH166" s="7"/>
      <c r="AI166" s="51"/>
      <c r="AJ166" s="51"/>
      <c r="AK166" s="51"/>
      <c r="AL166" s="51"/>
      <c r="AM166" s="51"/>
      <c r="AN166" s="51"/>
      <c r="AO166" s="51"/>
      <c r="AP166" s="51"/>
      <c r="AQ166" s="51"/>
      <c r="AR166" s="51"/>
      <c r="AS166" s="51"/>
      <c r="AT166" s="7"/>
    </row>
    <row r="167" spans="16:46" ht="15.75" x14ac:dyDescent="0.25">
      <c r="P167" s="113" t="s">
        <v>48</v>
      </c>
      <c r="Q167" s="182">
        <f>SUM(Q164:R166)</f>
        <v>787</v>
      </c>
      <c r="R167" s="182"/>
      <c r="S167" s="182">
        <f>SUM(S164:T166)</f>
        <v>100</v>
      </c>
      <c r="T167" s="182"/>
      <c r="U167" s="51"/>
      <c r="V167" s="51"/>
      <c r="W167" s="51"/>
      <c r="X167" s="51"/>
      <c r="Y167" s="51"/>
      <c r="Z167" s="51"/>
      <c r="AA167" s="51"/>
      <c r="AB167" s="51"/>
      <c r="AC167" s="51"/>
      <c r="AD167" s="14"/>
      <c r="AE167" s="6"/>
      <c r="AF167" s="51"/>
      <c r="AG167" s="51"/>
      <c r="AH167" s="7"/>
      <c r="AI167" s="51"/>
      <c r="AJ167" s="51"/>
      <c r="AK167" s="51"/>
      <c r="AL167" s="51"/>
      <c r="AM167" s="51"/>
      <c r="AN167" s="51"/>
      <c r="AO167" s="51"/>
      <c r="AP167" s="51"/>
      <c r="AQ167" s="51"/>
      <c r="AR167" s="51"/>
      <c r="AS167" s="51"/>
      <c r="AT167" s="7"/>
    </row>
    <row r="168" spans="16:46" x14ac:dyDescent="0.25">
      <c r="P168" s="23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14"/>
      <c r="AE168" s="6"/>
      <c r="AF168" s="51"/>
      <c r="AG168" s="51"/>
      <c r="AH168" s="7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7"/>
    </row>
    <row r="169" spans="16:46" x14ac:dyDescent="0.25">
      <c r="P169" s="6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178"/>
      <c r="AD169" s="178"/>
      <c r="AE169" s="178"/>
      <c r="AF169" s="178"/>
      <c r="AG169" s="178"/>
      <c r="AH169" s="178"/>
      <c r="AI169" s="51"/>
      <c r="AJ169" s="51"/>
      <c r="AK169" s="51"/>
      <c r="AL169" s="51"/>
      <c r="AM169" s="51"/>
      <c r="AN169" s="51"/>
      <c r="AO169" s="51"/>
      <c r="AP169" s="51"/>
      <c r="AQ169" s="51"/>
      <c r="AR169" s="51"/>
      <c r="AS169" s="51"/>
      <c r="AT169" s="7"/>
    </row>
    <row r="170" spans="16:46" x14ac:dyDescent="0.25">
      <c r="P170" s="6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3"/>
      <c r="AD170" s="41"/>
      <c r="AE170" s="22"/>
      <c r="AF170" s="53"/>
      <c r="AG170" s="53"/>
      <c r="AH170" s="52"/>
      <c r="AI170" s="51"/>
      <c r="AJ170" s="51"/>
      <c r="AK170" s="51"/>
      <c r="AL170" s="51"/>
      <c r="AM170" s="51"/>
      <c r="AN170" s="51"/>
      <c r="AO170" s="51"/>
      <c r="AP170" s="51"/>
      <c r="AQ170" s="51"/>
      <c r="AR170" s="51"/>
      <c r="AS170" s="51"/>
      <c r="AT170" s="7"/>
    </row>
    <row r="171" spans="16:46" x14ac:dyDescent="0.25">
      <c r="P171" s="6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3"/>
      <c r="AD171" s="41"/>
      <c r="AE171" s="22"/>
      <c r="AF171" s="53"/>
      <c r="AG171" s="53"/>
      <c r="AH171" s="52"/>
      <c r="AI171" s="51"/>
      <c r="AJ171" s="51"/>
      <c r="AK171" s="51"/>
      <c r="AL171" s="51"/>
      <c r="AM171" s="51"/>
      <c r="AN171" s="51"/>
      <c r="AO171" s="51"/>
      <c r="AP171" s="51"/>
      <c r="AQ171" s="51"/>
      <c r="AR171" s="51"/>
      <c r="AS171" s="51"/>
      <c r="AT171" s="7"/>
    </row>
  </sheetData>
  <mergeCells count="36">
    <mergeCell ref="P1:AT1"/>
    <mergeCell ref="P2:AT2"/>
    <mergeCell ref="S164:T164"/>
    <mergeCell ref="P79:AD79"/>
    <mergeCell ref="P80:AD81"/>
    <mergeCell ref="P3:AD4"/>
    <mergeCell ref="P5:AD5"/>
    <mergeCell ref="AF5:AH5"/>
    <mergeCell ref="AI5:AT5"/>
    <mergeCell ref="AI82:AT82"/>
    <mergeCell ref="AF3:AT4"/>
    <mergeCell ref="AF42:AT42"/>
    <mergeCell ref="P42:AD42"/>
    <mergeCell ref="AF80:AT81"/>
    <mergeCell ref="S165:T165"/>
    <mergeCell ref="AF43:AH43"/>
    <mergeCell ref="Q163:R163"/>
    <mergeCell ref="S163:T163"/>
    <mergeCell ref="P162:T162"/>
    <mergeCell ref="P82:AD82"/>
    <mergeCell ref="AF82:AH82"/>
    <mergeCell ref="P122:AD122"/>
    <mergeCell ref="AF122:AH122"/>
    <mergeCell ref="P43:AD43"/>
    <mergeCell ref="P121:AD121"/>
    <mergeCell ref="AF121:AT121"/>
    <mergeCell ref="AI43:AT43"/>
    <mergeCell ref="Q165:R165"/>
    <mergeCell ref="AI122:AT122"/>
    <mergeCell ref="Q164:R164"/>
    <mergeCell ref="AC169:AE169"/>
    <mergeCell ref="AF169:AH169"/>
    <mergeCell ref="Q166:R166"/>
    <mergeCell ref="S166:T166"/>
    <mergeCell ref="Q167:R167"/>
    <mergeCell ref="S167:T167"/>
  </mergeCells>
  <printOptions horizontalCentered="1" verticalCentered="1"/>
  <pageMargins left="0" right="0" top="0.55118110236220474" bottom="0.55118110236220474" header="0.31496062992125984" footer="0.31496062992125984"/>
  <pageSetup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32"/>
  <sheetViews>
    <sheetView topLeftCell="A10" zoomScaleNormal="100" workbookViewId="0">
      <selection activeCell="R32" sqref="R32"/>
    </sheetView>
  </sheetViews>
  <sheetFormatPr baseColWidth="10" defaultRowHeight="15" x14ac:dyDescent="0.25"/>
  <cols>
    <col min="1" max="1" width="1.140625" customWidth="1"/>
    <col min="2" max="2" width="21.85546875" customWidth="1"/>
    <col min="3" max="4" width="4.140625" customWidth="1"/>
    <col min="5" max="5" width="4.42578125" customWidth="1"/>
    <col min="6" max="6" width="3.5703125" customWidth="1"/>
    <col min="7" max="7" width="4.42578125" customWidth="1"/>
    <col min="8" max="8" width="4.28515625" customWidth="1"/>
    <col min="9" max="9" width="4.7109375" customWidth="1"/>
    <col min="10" max="10" width="5" customWidth="1"/>
    <col min="11" max="11" width="4.7109375" customWidth="1"/>
    <col min="12" max="14" width="4.28515625" customWidth="1"/>
    <col min="15" max="15" width="6" customWidth="1"/>
    <col min="16" max="16" width="7.85546875" customWidth="1"/>
    <col min="17" max="17" width="2.7109375" customWidth="1"/>
    <col min="18" max="18" width="21.42578125" customWidth="1"/>
    <col min="19" max="20" width="4.85546875" customWidth="1"/>
    <col min="21" max="21" width="4.5703125" customWidth="1"/>
    <col min="22" max="23" width="4.42578125" customWidth="1"/>
    <col min="24" max="24" width="4.7109375" customWidth="1"/>
    <col min="25" max="27" width="4.5703125" customWidth="1"/>
    <col min="28" max="28" width="5.7109375" customWidth="1"/>
    <col min="29" max="30" width="4.5703125" customWidth="1"/>
    <col min="31" max="31" width="5.7109375" customWidth="1"/>
    <col min="32" max="32" width="8.28515625" customWidth="1"/>
  </cols>
  <sheetData>
    <row r="1" spans="2:35" ht="18.75" x14ac:dyDescent="0.3">
      <c r="B1" s="229" t="s">
        <v>186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121"/>
      <c r="R1" s="229" t="s">
        <v>187</v>
      </c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</row>
    <row r="2" spans="2:35" ht="18" customHeight="1" thickBot="1" x14ac:dyDescent="0.3"/>
    <row r="3" spans="2:35" ht="65.45" customHeight="1" thickBot="1" x14ac:dyDescent="0.3">
      <c r="B3" s="224" t="s">
        <v>190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6"/>
      <c r="P3" s="61"/>
      <c r="R3" s="224" t="s">
        <v>191</v>
      </c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6"/>
    </row>
    <row r="4" spans="2:35" ht="57.6" customHeight="1" thickBot="1" x14ac:dyDescent="0.3">
      <c r="B4" s="58" t="s">
        <v>205</v>
      </c>
      <c r="C4" s="56" t="s">
        <v>12</v>
      </c>
      <c r="D4" s="56" t="s">
        <v>13</v>
      </c>
      <c r="E4" s="56" t="s">
        <v>14</v>
      </c>
      <c r="F4" s="56" t="s">
        <v>15</v>
      </c>
      <c r="G4" s="56" t="s">
        <v>16</v>
      </c>
      <c r="H4" s="56" t="s">
        <v>17</v>
      </c>
      <c r="I4" s="56" t="s">
        <v>18</v>
      </c>
      <c r="J4" s="65" t="s">
        <v>99</v>
      </c>
      <c r="K4" s="65" t="s">
        <v>100</v>
      </c>
      <c r="L4" s="65" t="s">
        <v>102</v>
      </c>
      <c r="M4" s="65" t="s">
        <v>118</v>
      </c>
      <c r="N4" s="65" t="s">
        <v>119</v>
      </c>
      <c r="O4" s="60" t="s">
        <v>9</v>
      </c>
      <c r="P4" s="62"/>
      <c r="R4" s="58" t="s">
        <v>205</v>
      </c>
      <c r="S4" s="56" t="s">
        <v>12</v>
      </c>
      <c r="T4" s="56" t="s">
        <v>13</v>
      </c>
      <c r="U4" s="56" t="s">
        <v>14</v>
      </c>
      <c r="V4" s="56" t="s">
        <v>15</v>
      </c>
      <c r="W4" s="56" t="s">
        <v>16</v>
      </c>
      <c r="X4" s="56" t="s">
        <v>17</v>
      </c>
      <c r="Y4" s="56" t="s">
        <v>18</v>
      </c>
      <c r="Z4" s="65" t="s">
        <v>99</v>
      </c>
      <c r="AA4" s="65" t="s">
        <v>100</v>
      </c>
      <c r="AB4" s="65" t="s">
        <v>102</v>
      </c>
      <c r="AC4" s="65" t="s">
        <v>118</v>
      </c>
      <c r="AD4" s="65" t="s">
        <v>119</v>
      </c>
      <c r="AE4" s="60" t="s">
        <v>9</v>
      </c>
      <c r="AG4" s="50" t="s">
        <v>20</v>
      </c>
    </row>
    <row r="5" spans="2:35" x14ac:dyDescent="0.25">
      <c r="B5" s="66" t="s">
        <v>64</v>
      </c>
      <c r="C5" s="67">
        <f>3</f>
        <v>3</v>
      </c>
      <c r="D5" s="67">
        <f>6</f>
        <v>6</v>
      </c>
      <c r="E5" s="67">
        <v>23</v>
      </c>
      <c r="F5" s="67">
        <v>0</v>
      </c>
      <c r="G5" s="67">
        <v>0</v>
      </c>
      <c r="H5" s="67">
        <v>0</v>
      </c>
      <c r="I5" s="67">
        <v>0</v>
      </c>
      <c r="J5" s="67">
        <v>0</v>
      </c>
      <c r="K5" s="67">
        <v>0</v>
      </c>
      <c r="L5" s="86">
        <v>0</v>
      </c>
      <c r="M5" s="86">
        <v>0</v>
      </c>
      <c r="N5" s="86">
        <v>0</v>
      </c>
      <c r="O5" s="68">
        <f t="shared" ref="O5:O10" si="0">SUM(C5:N5)</f>
        <v>32</v>
      </c>
      <c r="P5" s="63"/>
      <c r="R5" s="66" t="s">
        <v>64</v>
      </c>
      <c r="S5" s="67">
        <v>12</v>
      </c>
      <c r="T5" s="67">
        <v>12</v>
      </c>
      <c r="U5" s="67">
        <v>19</v>
      </c>
      <c r="V5" s="67">
        <v>0</v>
      </c>
      <c r="W5" s="67">
        <v>0</v>
      </c>
      <c r="X5" s="67">
        <v>0</v>
      </c>
      <c r="Y5" s="67">
        <v>0</v>
      </c>
      <c r="Z5" s="67">
        <v>0</v>
      </c>
      <c r="AA5" s="67">
        <v>0</v>
      </c>
      <c r="AB5" s="86">
        <v>0</v>
      </c>
      <c r="AC5" s="86">
        <v>0</v>
      </c>
      <c r="AD5" s="86">
        <v>0</v>
      </c>
      <c r="AE5" s="68">
        <f t="shared" ref="AE5:AE10" si="1">SUM(S5:AD5)</f>
        <v>43</v>
      </c>
    </row>
    <row r="6" spans="2:35" x14ac:dyDescent="0.25">
      <c r="B6" s="69" t="s">
        <v>65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47">
        <v>0</v>
      </c>
      <c r="M6" s="47">
        <v>0</v>
      </c>
      <c r="N6" s="47">
        <v>0</v>
      </c>
      <c r="O6" s="70">
        <f t="shared" si="0"/>
        <v>0</v>
      </c>
      <c r="P6" s="63"/>
      <c r="R6" s="69" t="s">
        <v>65</v>
      </c>
      <c r="S6" s="27">
        <v>20</v>
      </c>
      <c r="T6" s="130">
        <v>7</v>
      </c>
      <c r="U6" s="27">
        <v>12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7">
        <v>0</v>
      </c>
      <c r="AB6" s="47">
        <v>0</v>
      </c>
      <c r="AC6" s="47">
        <v>0</v>
      </c>
      <c r="AD6" s="126">
        <v>0</v>
      </c>
      <c r="AE6" s="70">
        <f t="shared" si="1"/>
        <v>39</v>
      </c>
    </row>
    <row r="7" spans="2:35" x14ac:dyDescent="0.25">
      <c r="B7" s="69" t="s">
        <v>66</v>
      </c>
      <c r="C7" s="27">
        <f>12</f>
        <v>12</v>
      </c>
      <c r="D7" s="27">
        <v>13</v>
      </c>
      <c r="E7" s="27">
        <v>22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47">
        <v>0</v>
      </c>
      <c r="M7" s="47">
        <v>0</v>
      </c>
      <c r="N7" s="47">
        <v>0</v>
      </c>
      <c r="O7" s="70">
        <f t="shared" si="0"/>
        <v>47</v>
      </c>
      <c r="P7" s="63"/>
      <c r="R7" s="69" t="s">
        <v>66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27">
        <v>0</v>
      </c>
      <c r="AA7" s="27">
        <v>0</v>
      </c>
      <c r="AB7" s="47">
        <v>0</v>
      </c>
      <c r="AC7" s="47">
        <v>0</v>
      </c>
      <c r="AD7" s="47">
        <v>0</v>
      </c>
      <c r="AE7" s="70">
        <f t="shared" si="1"/>
        <v>0</v>
      </c>
    </row>
    <row r="8" spans="2:35" x14ac:dyDescent="0.25">
      <c r="B8" s="69" t="s">
        <v>67</v>
      </c>
      <c r="C8" s="27">
        <v>12</v>
      </c>
      <c r="D8" s="27">
        <v>12</v>
      </c>
      <c r="E8" s="27">
        <v>15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47">
        <v>0</v>
      </c>
      <c r="M8" s="47">
        <v>0</v>
      </c>
      <c r="N8" s="47">
        <v>0</v>
      </c>
      <c r="O8" s="70">
        <f t="shared" si="0"/>
        <v>39</v>
      </c>
      <c r="P8" s="63"/>
      <c r="R8" s="69" t="s">
        <v>67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0</v>
      </c>
      <c r="AB8" s="47">
        <v>0</v>
      </c>
      <c r="AC8" s="47">
        <v>0</v>
      </c>
      <c r="AD8" s="47">
        <v>0</v>
      </c>
      <c r="AE8" s="70">
        <f t="shared" si="1"/>
        <v>0</v>
      </c>
    </row>
    <row r="9" spans="2:35" x14ac:dyDescent="0.25">
      <c r="B9" s="69" t="s">
        <v>68</v>
      </c>
      <c r="C9" s="27">
        <v>10</v>
      </c>
      <c r="D9" s="27">
        <f>23</f>
        <v>23</v>
      </c>
      <c r="E9" s="27">
        <v>33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47">
        <v>0</v>
      </c>
      <c r="M9" s="47">
        <v>0</v>
      </c>
      <c r="N9" s="47">
        <v>0</v>
      </c>
      <c r="O9" s="70">
        <f t="shared" si="0"/>
        <v>66</v>
      </c>
      <c r="P9" s="63"/>
      <c r="R9" s="69" t="s">
        <v>68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47">
        <v>0</v>
      </c>
      <c r="AC9" s="47">
        <v>0</v>
      </c>
      <c r="AD9" s="47">
        <v>0</v>
      </c>
      <c r="AE9" s="70">
        <f t="shared" si="1"/>
        <v>0</v>
      </c>
    </row>
    <row r="10" spans="2:35" ht="15.75" thickBot="1" x14ac:dyDescent="0.3">
      <c r="B10" s="94" t="s">
        <v>69</v>
      </c>
      <c r="C10" s="28">
        <v>19</v>
      </c>
      <c r="D10" s="28">
        <v>32</v>
      </c>
      <c r="E10" s="28">
        <v>42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87">
        <v>0</v>
      </c>
      <c r="M10" s="87">
        <v>0</v>
      </c>
      <c r="N10" s="87">
        <v>0</v>
      </c>
      <c r="O10" s="70">
        <f t="shared" si="0"/>
        <v>93</v>
      </c>
      <c r="P10" s="63"/>
      <c r="R10" s="94" t="s">
        <v>69</v>
      </c>
      <c r="S10" s="28">
        <v>0</v>
      </c>
      <c r="T10" s="28">
        <v>0</v>
      </c>
      <c r="U10" s="28">
        <v>1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87">
        <v>0</v>
      </c>
      <c r="AC10" s="87">
        <v>0</v>
      </c>
      <c r="AD10" s="87">
        <v>0</v>
      </c>
      <c r="AE10" s="85">
        <f t="shared" si="1"/>
        <v>1</v>
      </c>
    </row>
    <row r="11" spans="2:35" ht="15.75" thickBot="1" x14ac:dyDescent="0.3">
      <c r="B11" s="95" t="s">
        <v>9</v>
      </c>
      <c r="C11" s="96">
        <f t="shared" ref="C11:K11" si="2">SUM(C5:C10)</f>
        <v>56</v>
      </c>
      <c r="D11" s="96">
        <f t="shared" si="2"/>
        <v>86</v>
      </c>
      <c r="E11" s="96">
        <f t="shared" si="2"/>
        <v>135</v>
      </c>
      <c r="F11" s="96">
        <f t="shared" si="2"/>
        <v>0</v>
      </c>
      <c r="G11" s="96">
        <f t="shared" si="2"/>
        <v>0</v>
      </c>
      <c r="H11" s="96">
        <f t="shared" si="2"/>
        <v>0</v>
      </c>
      <c r="I11" s="96">
        <f t="shared" si="2"/>
        <v>0</v>
      </c>
      <c r="J11" s="96">
        <f t="shared" si="2"/>
        <v>0</v>
      </c>
      <c r="K11" s="96">
        <f t="shared" si="2"/>
        <v>0</v>
      </c>
      <c r="L11" s="96">
        <f>L5+L6+L7+L8+L9+L10</f>
        <v>0</v>
      </c>
      <c r="M11" s="96">
        <f>M5+M6+M7+M8+M9+M10</f>
        <v>0</v>
      </c>
      <c r="N11" s="96">
        <f>N5+N6+N7+N8+N9+N10</f>
        <v>0</v>
      </c>
      <c r="O11" s="97">
        <f>SUM(O5:O10)</f>
        <v>277</v>
      </c>
      <c r="P11" s="64"/>
      <c r="R11" s="99" t="s">
        <v>9</v>
      </c>
      <c r="S11" s="96">
        <f t="shared" ref="S11:AA11" si="3">SUM(S5:S10)</f>
        <v>32</v>
      </c>
      <c r="T11" s="96">
        <f t="shared" si="3"/>
        <v>19</v>
      </c>
      <c r="U11" s="96">
        <f t="shared" si="3"/>
        <v>32</v>
      </c>
      <c r="V11" s="96">
        <f t="shared" si="3"/>
        <v>0</v>
      </c>
      <c r="W11" s="96">
        <f t="shared" si="3"/>
        <v>0</v>
      </c>
      <c r="X11" s="96">
        <f t="shared" si="3"/>
        <v>0</v>
      </c>
      <c r="Y11" s="96">
        <f t="shared" si="3"/>
        <v>0</v>
      </c>
      <c r="Z11" s="96">
        <f t="shared" si="3"/>
        <v>0</v>
      </c>
      <c r="AA11" s="96">
        <f t="shared" si="3"/>
        <v>0</v>
      </c>
      <c r="AB11" s="96">
        <f>SUM(AB5:AB10)</f>
        <v>0</v>
      </c>
      <c r="AC11" s="96">
        <f>SUM(AC5:AC10)</f>
        <v>0</v>
      </c>
      <c r="AD11" s="96">
        <f>SUM(AD5:AD10)</f>
        <v>0</v>
      </c>
      <c r="AE11" s="114">
        <f>SUM(AE5:AE10)</f>
        <v>83</v>
      </c>
      <c r="AG11" t="s">
        <v>20</v>
      </c>
    </row>
    <row r="12" spans="2:35" x14ac:dyDescent="0.25">
      <c r="B12" s="5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9"/>
      <c r="P12" s="49"/>
      <c r="R12" s="5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9"/>
    </row>
    <row r="13" spans="2:35" x14ac:dyDescent="0.25">
      <c r="B13" s="5"/>
      <c r="C13" s="48"/>
      <c r="D13" s="48"/>
      <c r="E13" s="48"/>
      <c r="F13" s="48"/>
      <c r="G13" s="48"/>
      <c r="H13" s="48" t="s">
        <v>20</v>
      </c>
      <c r="I13" s="48"/>
      <c r="J13" s="48"/>
      <c r="K13" s="48"/>
      <c r="L13" s="48"/>
      <c r="M13" s="48"/>
      <c r="N13" s="48"/>
      <c r="O13" s="49"/>
      <c r="P13" s="49"/>
      <c r="R13" s="5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9"/>
    </row>
    <row r="14" spans="2:35" ht="15.75" thickBot="1" x14ac:dyDescent="0.3">
      <c r="B14" s="5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  <c r="P14" s="49"/>
      <c r="R14" s="55" t="s">
        <v>20</v>
      </c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9"/>
    </row>
    <row r="15" spans="2:35" ht="50.45" customHeight="1" thickBot="1" x14ac:dyDescent="0.3">
      <c r="B15" s="224" t="s">
        <v>192</v>
      </c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8"/>
      <c r="R15" s="224" t="s">
        <v>193</v>
      </c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8"/>
    </row>
    <row r="16" spans="2:35" ht="58.5" customHeight="1" thickBot="1" x14ac:dyDescent="0.3">
      <c r="B16" s="73" t="s">
        <v>88</v>
      </c>
      <c r="C16" s="74" t="s">
        <v>12</v>
      </c>
      <c r="D16" s="74" t="s">
        <v>13</v>
      </c>
      <c r="E16" s="74" t="s">
        <v>14</v>
      </c>
      <c r="F16" s="74" t="s">
        <v>15</v>
      </c>
      <c r="G16" s="74" t="s">
        <v>16</v>
      </c>
      <c r="H16" s="74" t="s">
        <v>17</v>
      </c>
      <c r="I16" s="74" t="s">
        <v>18</v>
      </c>
      <c r="J16" s="74" t="s">
        <v>99</v>
      </c>
      <c r="K16" s="74" t="s">
        <v>100</v>
      </c>
      <c r="L16" s="74" t="s">
        <v>102</v>
      </c>
      <c r="M16" s="74" t="s">
        <v>118</v>
      </c>
      <c r="N16" s="74" t="s">
        <v>119</v>
      </c>
      <c r="O16" s="75" t="s">
        <v>9</v>
      </c>
      <c r="P16" s="57" t="s">
        <v>35</v>
      </c>
      <c r="R16" s="119" t="s">
        <v>88</v>
      </c>
      <c r="S16" s="118" t="s">
        <v>12</v>
      </c>
      <c r="T16" s="83" t="s">
        <v>13</v>
      </c>
      <c r="U16" s="83" t="s">
        <v>14</v>
      </c>
      <c r="V16" s="83" t="s">
        <v>15</v>
      </c>
      <c r="W16" s="83" t="s">
        <v>16</v>
      </c>
      <c r="X16" s="83" t="s">
        <v>17</v>
      </c>
      <c r="Y16" s="83" t="s">
        <v>18</v>
      </c>
      <c r="Z16" s="83" t="s">
        <v>99</v>
      </c>
      <c r="AA16" s="83" t="s">
        <v>100</v>
      </c>
      <c r="AB16" s="83" t="s">
        <v>102</v>
      </c>
      <c r="AC16" s="83" t="s">
        <v>118</v>
      </c>
      <c r="AD16" s="83" t="s">
        <v>119</v>
      </c>
      <c r="AE16" s="84" t="s">
        <v>9</v>
      </c>
      <c r="AF16" s="57" t="s">
        <v>35</v>
      </c>
      <c r="AI16" s="120"/>
    </row>
    <row r="17" spans="2:35" ht="15.75" thickBot="1" x14ac:dyDescent="0.3">
      <c r="B17" s="66" t="s">
        <v>72</v>
      </c>
      <c r="C17" s="67">
        <f>1+1+2+1+5</f>
        <v>10</v>
      </c>
      <c r="D17" s="67">
        <f>2+2+1+5+6</f>
        <v>16</v>
      </c>
      <c r="E17" s="67">
        <f>10+8+5+4+5</f>
        <v>32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f t="shared" ref="O17:O22" si="4">SUM(C17:N17)</f>
        <v>58</v>
      </c>
      <c r="P17" s="76">
        <f>O17/O30*100</f>
        <v>20.938628158844764</v>
      </c>
      <c r="Q17" s="82"/>
      <c r="R17" s="66" t="s">
        <v>82</v>
      </c>
      <c r="S17" s="67">
        <f>2+4</f>
        <v>6</v>
      </c>
      <c r="T17" s="67">
        <f>3+4</f>
        <v>7</v>
      </c>
      <c r="U17" s="67">
        <f>2+2</f>
        <v>4</v>
      </c>
      <c r="V17" s="67">
        <v>0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0</v>
      </c>
      <c r="AE17" s="67">
        <f t="shared" ref="AE17:AE25" si="5">SUM(S17:AD17)</f>
        <v>17</v>
      </c>
      <c r="AF17" s="76">
        <f>AE17/AE30*100</f>
        <v>20.481927710843372</v>
      </c>
      <c r="AH17" s="5"/>
      <c r="AI17" s="120"/>
    </row>
    <row r="18" spans="2:35" ht="15.75" thickBot="1" x14ac:dyDescent="0.3">
      <c r="B18" s="69" t="s">
        <v>73</v>
      </c>
      <c r="C18" s="27">
        <f>1+2+4+3</f>
        <v>10</v>
      </c>
      <c r="D18" s="27">
        <f>2+5+3+2+3</f>
        <v>15</v>
      </c>
      <c r="E18" s="27">
        <f>2+3+2+2</f>
        <v>9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f t="shared" si="4"/>
        <v>34</v>
      </c>
      <c r="P18" s="76">
        <f>O18/O30*100</f>
        <v>12.274368231046932</v>
      </c>
      <c r="R18" s="69" t="s">
        <v>83</v>
      </c>
      <c r="S18" s="27">
        <f>1+2</f>
        <v>3</v>
      </c>
      <c r="T18" s="27">
        <f>2+1</f>
        <v>3</v>
      </c>
      <c r="U18" s="27">
        <f>1+2</f>
        <v>3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f t="shared" si="5"/>
        <v>9</v>
      </c>
      <c r="AF18" s="77">
        <f>AE18/AE30*100</f>
        <v>10.843373493975903</v>
      </c>
      <c r="AH18" s="5"/>
      <c r="AI18" s="120"/>
    </row>
    <row r="19" spans="2:35" ht="15.75" thickBot="1" x14ac:dyDescent="0.3">
      <c r="B19" s="69" t="s">
        <v>74</v>
      </c>
      <c r="C19" s="27">
        <f>1+4+3</f>
        <v>8</v>
      </c>
      <c r="D19" s="27">
        <f>2+9</f>
        <v>11</v>
      </c>
      <c r="E19" s="27">
        <f>3+12+1+5+8</f>
        <v>29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f t="shared" si="4"/>
        <v>48</v>
      </c>
      <c r="P19" s="76">
        <f>O19/O30*100</f>
        <v>17.328519855595665</v>
      </c>
      <c r="R19" s="69" t="s">
        <v>84</v>
      </c>
      <c r="S19" s="27">
        <f>1+2</f>
        <v>3</v>
      </c>
      <c r="T19" s="27">
        <f>3</f>
        <v>3</v>
      </c>
      <c r="U19" s="27">
        <f>5+3</f>
        <v>8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f t="shared" si="5"/>
        <v>14</v>
      </c>
      <c r="AF19" s="77">
        <f>AE19/AE30*100</f>
        <v>16.867469879518072</v>
      </c>
      <c r="AH19" s="5"/>
      <c r="AI19" s="120"/>
    </row>
    <row r="20" spans="2:35" ht="15.75" thickBot="1" x14ac:dyDescent="0.3">
      <c r="B20" s="69" t="s">
        <v>75</v>
      </c>
      <c r="C20" s="27">
        <f>4+8+9</f>
        <v>21</v>
      </c>
      <c r="D20" s="27">
        <f>4+7+15</f>
        <v>26</v>
      </c>
      <c r="E20" s="27">
        <f>4+20+1+6</f>
        <v>31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f t="shared" si="4"/>
        <v>78</v>
      </c>
      <c r="P20" s="76">
        <f>O20/O30*100</f>
        <v>28.158844765342963</v>
      </c>
      <c r="R20" s="69" t="s">
        <v>73</v>
      </c>
      <c r="S20" s="27">
        <f>1</f>
        <v>1</v>
      </c>
      <c r="T20" s="27">
        <f>0+0</f>
        <v>0</v>
      </c>
      <c r="U20" s="27">
        <f>0+0</f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f t="shared" si="5"/>
        <v>1</v>
      </c>
      <c r="AF20" s="77">
        <f>AE20/AE30*100</f>
        <v>1.2048192771084338</v>
      </c>
      <c r="AH20" s="5"/>
      <c r="AI20" s="120"/>
    </row>
    <row r="21" spans="2:35" ht="15.75" thickBot="1" x14ac:dyDescent="0.3">
      <c r="B21" s="69" t="s">
        <v>76</v>
      </c>
      <c r="C21" s="27">
        <f>4+1</f>
        <v>5</v>
      </c>
      <c r="D21" s="27">
        <f>1+6+4</f>
        <v>11</v>
      </c>
      <c r="E21" s="27">
        <f>5+9</f>
        <v>14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f t="shared" si="4"/>
        <v>30</v>
      </c>
      <c r="P21" s="76">
        <f>O21/O30*100</f>
        <v>10.830324909747292</v>
      </c>
      <c r="R21" s="69" t="s">
        <v>74</v>
      </c>
      <c r="S21" s="27">
        <f>4+11</f>
        <v>15</v>
      </c>
      <c r="T21" s="27">
        <f>3+1</f>
        <v>4</v>
      </c>
      <c r="U21" s="27">
        <f>11+5</f>
        <v>16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f t="shared" si="5"/>
        <v>35</v>
      </c>
      <c r="AF21" s="77">
        <f>AE21/AE30*100</f>
        <v>42.168674698795186</v>
      </c>
      <c r="AH21" s="5"/>
      <c r="AI21" s="120"/>
    </row>
    <row r="22" spans="2:35" ht="15.75" thickBot="1" x14ac:dyDescent="0.3">
      <c r="B22" s="69" t="s">
        <v>77</v>
      </c>
      <c r="C22" s="27">
        <f>1+1</f>
        <v>2</v>
      </c>
      <c r="D22" s="27">
        <f>1+1</f>
        <v>2</v>
      </c>
      <c r="E22" s="27">
        <f>2+1+3+5</f>
        <v>11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f t="shared" si="4"/>
        <v>15</v>
      </c>
      <c r="P22" s="76">
        <f>O22/O30*100</f>
        <v>5.4151624548736459</v>
      </c>
      <c r="R22" s="69" t="s">
        <v>85</v>
      </c>
      <c r="S22" s="27">
        <f>3</f>
        <v>3</v>
      </c>
      <c r="T22" s="27">
        <f>1+1</f>
        <v>2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f t="shared" si="5"/>
        <v>5</v>
      </c>
      <c r="AF22" s="77">
        <f>AE22/AE30*100</f>
        <v>6.024096385542169</v>
      </c>
      <c r="AH22" s="5"/>
      <c r="AI22" s="120"/>
    </row>
    <row r="23" spans="2:35" ht="15.75" thickBot="1" x14ac:dyDescent="0.3">
      <c r="B23" s="78" t="s">
        <v>78</v>
      </c>
      <c r="C23" s="27">
        <v>0</v>
      </c>
      <c r="D23" s="27">
        <f>1</f>
        <v>1</v>
      </c>
      <c r="E23" s="27">
        <f>4</f>
        <v>4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f t="shared" ref="O23:O29" si="6">SUM(C23:N23)</f>
        <v>5</v>
      </c>
      <c r="P23" s="76">
        <f>O23/O30*100</f>
        <v>1.8050541516245486</v>
      </c>
      <c r="R23" s="78" t="s">
        <v>75</v>
      </c>
      <c r="S23" s="27">
        <f>0</f>
        <v>0</v>
      </c>
      <c r="T23" s="27">
        <v>0</v>
      </c>
      <c r="U23" s="27">
        <v>1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f t="shared" si="5"/>
        <v>1</v>
      </c>
      <c r="AF23" s="77">
        <f>AE23/AE30*100</f>
        <v>1.2048192771084338</v>
      </c>
      <c r="AH23" s="5"/>
      <c r="AI23" s="120"/>
    </row>
    <row r="24" spans="2:35" ht="15.75" thickBot="1" x14ac:dyDescent="0.3">
      <c r="B24" s="78" t="s">
        <v>79</v>
      </c>
      <c r="C24" s="27">
        <v>0</v>
      </c>
      <c r="D24" s="27">
        <v>0</v>
      </c>
      <c r="E24" s="27">
        <f>1</f>
        <v>1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f t="shared" si="6"/>
        <v>1</v>
      </c>
      <c r="P24" s="76">
        <f>C24/O30*100</f>
        <v>0</v>
      </c>
      <c r="R24" s="78" t="s">
        <v>86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f>0</f>
        <v>0</v>
      </c>
      <c r="AD24" s="27">
        <v>0</v>
      </c>
      <c r="AE24" s="27">
        <f t="shared" si="5"/>
        <v>0</v>
      </c>
      <c r="AF24" s="77">
        <f>AE24/AE30*100</f>
        <v>0</v>
      </c>
      <c r="AH24" s="5"/>
      <c r="AI24" s="120"/>
    </row>
    <row r="25" spans="2:35" ht="15.75" thickBot="1" x14ac:dyDescent="0.3">
      <c r="B25" s="78" t="s">
        <v>80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f>0</f>
        <v>0</v>
      </c>
      <c r="N25" s="27">
        <f>0</f>
        <v>0</v>
      </c>
      <c r="O25" s="27">
        <f t="shared" si="6"/>
        <v>0</v>
      </c>
      <c r="P25" s="76">
        <f>C25/O30*100</f>
        <v>0</v>
      </c>
      <c r="R25" s="78" t="s">
        <v>78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f t="shared" si="5"/>
        <v>0</v>
      </c>
      <c r="AF25" s="77">
        <f>AE25/AE30*100</f>
        <v>0</v>
      </c>
      <c r="AH25" s="5"/>
      <c r="AI25" s="120"/>
    </row>
    <row r="26" spans="2:35" ht="15.75" thickBot="1" x14ac:dyDescent="0.3">
      <c r="B26" s="78" t="s">
        <v>81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27">
        <f t="shared" si="6"/>
        <v>0</v>
      </c>
      <c r="P26" s="76">
        <f>C26/O30*100</f>
        <v>0</v>
      </c>
      <c r="R26" s="78" t="s">
        <v>120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27">
        <v>0</v>
      </c>
      <c r="AF26" s="77">
        <f>AE26/AE30*100</f>
        <v>0</v>
      </c>
      <c r="AH26" s="5"/>
      <c r="AI26" s="120"/>
    </row>
    <row r="27" spans="2:35" ht="15.75" thickBot="1" x14ac:dyDescent="0.3">
      <c r="B27" s="98" t="s">
        <v>122</v>
      </c>
      <c r="C27" s="28">
        <v>0</v>
      </c>
      <c r="D27" s="28">
        <f>1+3</f>
        <v>4</v>
      </c>
      <c r="E27" s="28">
        <f>3+1</f>
        <v>4</v>
      </c>
      <c r="F27" s="28">
        <v>0</v>
      </c>
      <c r="G27" s="28">
        <v>0</v>
      </c>
      <c r="H27" s="28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87">
        <v>0</v>
      </c>
      <c r="O27" s="27">
        <f t="shared" si="6"/>
        <v>8</v>
      </c>
      <c r="P27" s="76">
        <f>O27/O30*100</f>
        <v>2.8880866425992782</v>
      </c>
      <c r="R27" s="98" t="s">
        <v>101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v>0</v>
      </c>
      <c r="AD27" s="87">
        <v>0</v>
      </c>
      <c r="AE27" s="27">
        <v>0</v>
      </c>
      <c r="AF27" s="77">
        <f>AE27/AE30*100</f>
        <v>0</v>
      </c>
      <c r="AH27" s="5"/>
      <c r="AI27" s="120"/>
    </row>
    <row r="28" spans="2:35" ht="15.75" thickBot="1" x14ac:dyDescent="0.3">
      <c r="B28" s="98"/>
      <c r="C28" s="28">
        <v>0</v>
      </c>
      <c r="D28" s="28"/>
      <c r="E28" s="28"/>
      <c r="F28" s="28">
        <f t="shared" ref="F28:N28" si="7">SUM(F17:F27)</f>
        <v>0</v>
      </c>
      <c r="G28" s="28">
        <f t="shared" si="7"/>
        <v>0</v>
      </c>
      <c r="H28" s="28">
        <f t="shared" si="7"/>
        <v>0</v>
      </c>
      <c r="I28" s="87">
        <f t="shared" si="7"/>
        <v>0</v>
      </c>
      <c r="J28" s="87">
        <f t="shared" si="7"/>
        <v>0</v>
      </c>
      <c r="K28" s="87">
        <f t="shared" si="7"/>
        <v>0</v>
      </c>
      <c r="L28" s="87">
        <f t="shared" si="7"/>
        <v>0</v>
      </c>
      <c r="M28" s="87">
        <f t="shared" si="7"/>
        <v>0</v>
      </c>
      <c r="N28" s="87">
        <f t="shared" si="7"/>
        <v>0</v>
      </c>
      <c r="O28" s="27">
        <f t="shared" si="6"/>
        <v>0</v>
      </c>
      <c r="P28" s="76">
        <f>C28/O30*100</f>
        <v>0</v>
      </c>
      <c r="R28" s="98" t="s">
        <v>122</v>
      </c>
      <c r="S28" s="28">
        <f>1</f>
        <v>1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v>0</v>
      </c>
      <c r="AD28" s="87">
        <v>0</v>
      </c>
      <c r="AE28" s="27">
        <f>SUM(S28:AD28)</f>
        <v>1</v>
      </c>
      <c r="AF28" s="105">
        <f>AE28/AE30*100</f>
        <v>1.2048192771084338</v>
      </c>
      <c r="AH28" s="120"/>
      <c r="AI28" s="120"/>
    </row>
    <row r="29" spans="2:35" x14ac:dyDescent="0.25">
      <c r="B29" s="98"/>
      <c r="C29" s="28">
        <v>0</v>
      </c>
      <c r="D29" s="28"/>
      <c r="E29" s="28"/>
      <c r="F29" s="28">
        <f t="shared" ref="F29:N29" si="8">SUM(F17:F28)</f>
        <v>0</v>
      </c>
      <c r="G29" s="28">
        <f t="shared" si="8"/>
        <v>0</v>
      </c>
      <c r="H29" s="28">
        <f t="shared" si="8"/>
        <v>0</v>
      </c>
      <c r="I29" s="87">
        <f t="shared" si="8"/>
        <v>0</v>
      </c>
      <c r="J29" s="87">
        <f t="shared" si="8"/>
        <v>0</v>
      </c>
      <c r="K29" s="87">
        <f t="shared" si="8"/>
        <v>0</v>
      </c>
      <c r="L29" s="87">
        <f t="shared" si="8"/>
        <v>0</v>
      </c>
      <c r="M29" s="87">
        <f t="shared" si="8"/>
        <v>0</v>
      </c>
      <c r="N29" s="87">
        <f t="shared" si="8"/>
        <v>0</v>
      </c>
      <c r="O29" s="27">
        <f t="shared" si="6"/>
        <v>0</v>
      </c>
      <c r="P29" s="76">
        <f>C29/O30*100</f>
        <v>0</v>
      </c>
      <c r="R29" s="98" t="s">
        <v>79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v>0</v>
      </c>
      <c r="AD29" s="87">
        <v>0</v>
      </c>
      <c r="AE29" s="28">
        <f>SUM(S29:AD29)</f>
        <v>0</v>
      </c>
      <c r="AF29" s="106">
        <f>AE29/AE30*100</f>
        <v>0</v>
      </c>
      <c r="AH29" s="120"/>
      <c r="AI29" s="120"/>
    </row>
    <row r="30" spans="2:35" ht="15.75" thickBot="1" x14ac:dyDescent="0.3">
      <c r="B30" s="71" t="s">
        <v>9</v>
      </c>
      <c r="C30" s="72">
        <f>SUM(C17:C29)</f>
        <v>56</v>
      </c>
      <c r="D30" s="72">
        <f>SUM(D17:D29)</f>
        <v>86</v>
      </c>
      <c r="E30" s="72">
        <f>SUM(E17:E29)</f>
        <v>135</v>
      </c>
      <c r="F30" s="72">
        <f t="shared" ref="F30:K30" si="9">SUM(F17:F29)</f>
        <v>0</v>
      </c>
      <c r="G30" s="72">
        <f t="shared" si="9"/>
        <v>0</v>
      </c>
      <c r="H30" s="72">
        <f t="shared" si="9"/>
        <v>0</v>
      </c>
      <c r="I30" s="79">
        <f t="shared" si="9"/>
        <v>0</v>
      </c>
      <c r="J30" s="79">
        <f t="shared" si="9"/>
        <v>0</v>
      </c>
      <c r="K30" s="79">
        <f t="shared" si="9"/>
        <v>0</v>
      </c>
      <c r="L30" s="79">
        <f>L17+L18+L19+L20+L21+L22+L23+L24+L25+L26+L27+L28+L29</f>
        <v>0</v>
      </c>
      <c r="M30" s="79">
        <f>M17+M18+M19+M20+M21+M22+M23+M24+M25+M26+M27+M28+M29</f>
        <v>0</v>
      </c>
      <c r="N30" s="79">
        <f>N17+N18+N19+N20+N21+N22+N23+N24+N25+N26+N27+N28+N29</f>
        <v>0</v>
      </c>
      <c r="O30" s="80">
        <f>SUM(O17:O29)</f>
        <v>277</v>
      </c>
      <c r="P30" s="81">
        <f>SUM(P17:P29)</f>
        <v>99.638989169675099</v>
      </c>
      <c r="R30" s="71" t="s">
        <v>9</v>
      </c>
      <c r="S30" s="72">
        <f t="shared" ref="S30:AA30" si="10">SUM(S17:S29)</f>
        <v>32</v>
      </c>
      <c r="T30" s="72">
        <f t="shared" si="10"/>
        <v>19</v>
      </c>
      <c r="U30" s="72">
        <f t="shared" si="10"/>
        <v>32</v>
      </c>
      <c r="V30" s="72">
        <f t="shared" si="10"/>
        <v>0</v>
      </c>
      <c r="W30" s="72">
        <f t="shared" si="10"/>
        <v>0</v>
      </c>
      <c r="X30" s="72">
        <f t="shared" si="10"/>
        <v>0</v>
      </c>
      <c r="Y30" s="79">
        <f t="shared" si="10"/>
        <v>0</v>
      </c>
      <c r="Z30" s="79">
        <f t="shared" si="10"/>
        <v>0</v>
      </c>
      <c r="AA30" s="79">
        <f t="shared" si="10"/>
        <v>0</v>
      </c>
      <c r="AB30" s="79">
        <f>SUM(AB17:AB29)</f>
        <v>0</v>
      </c>
      <c r="AC30" s="79">
        <f>SUM(AC17:AC29)</f>
        <v>0</v>
      </c>
      <c r="AD30" s="79">
        <f>SUM(AD17:AD29)</f>
        <v>0</v>
      </c>
      <c r="AE30" s="80">
        <f>SUM(AE17:AE29)</f>
        <v>83</v>
      </c>
      <c r="AF30" s="81">
        <f>SUM(AF17:AF29)</f>
        <v>99.999999999999986</v>
      </c>
      <c r="AH30" s="5"/>
      <c r="AI30" s="120"/>
    </row>
    <row r="31" spans="2:35" x14ac:dyDescent="0.25">
      <c r="AI31" s="120"/>
    </row>
    <row r="32" spans="2:35" x14ac:dyDescent="0.25">
      <c r="K32" t="s">
        <v>20</v>
      </c>
      <c r="L32" t="s">
        <v>20</v>
      </c>
    </row>
  </sheetData>
  <mergeCells count="6">
    <mergeCell ref="R3:AE3"/>
    <mergeCell ref="B3:O3"/>
    <mergeCell ref="B15:P15"/>
    <mergeCell ref="R15:AF15"/>
    <mergeCell ref="B1:P1"/>
    <mergeCell ref="R1:AF1"/>
  </mergeCells>
  <printOptions horizontalCentered="1" verticalCentered="1"/>
  <pageMargins left="0.11811023622047245" right="0.19685039370078741" top="0.39370078740157483" bottom="0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TOTAL SANCIONADOS</vt:lpstr>
      <vt:lpstr>Genero y Categoria</vt:lpstr>
      <vt:lpstr>faltas de sancionados</vt:lpstr>
      <vt:lpstr>TOTALES VARIOS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2017-08-31T21:42:01Z</dcterms:modified>
</cp:coreProperties>
</file>