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ÓN A DICIEMBRE 2020\ESTADISTICA ANUAL\"/>
    </mc:Choice>
  </mc:AlternateContent>
  <xr:revisionPtr revIDLastSave="0" documentId="13_ncr:1_{9C91591E-B83D-4E63-8DCA-E8F858BD63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w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2" i="1" l="1"/>
  <c r="B112" i="1"/>
  <c r="F111" i="1"/>
  <c r="E111" i="1"/>
  <c r="D111" i="1"/>
  <c r="F110" i="1"/>
  <c r="E110" i="1"/>
  <c r="D110" i="1"/>
  <c r="F142" i="1"/>
  <c r="C142" i="1"/>
  <c r="B142" i="1"/>
  <c r="F141" i="1"/>
  <c r="C141" i="1"/>
  <c r="B141" i="1"/>
  <c r="C140" i="1"/>
  <c r="B138" i="1"/>
  <c r="E137" i="1"/>
  <c r="E142" i="1" s="1"/>
  <c r="D137" i="1"/>
  <c r="D142" i="1" s="1"/>
  <c r="E136" i="1"/>
  <c r="D136" i="1"/>
  <c r="D141" i="1" s="1"/>
  <c r="F133" i="1"/>
  <c r="F140" i="1" s="1"/>
  <c r="E133" i="1"/>
  <c r="B133" i="1"/>
  <c r="F94" i="1"/>
  <c r="E94" i="1"/>
  <c r="D94" i="1"/>
  <c r="C94" i="1"/>
  <c r="B94" i="1"/>
  <c r="B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F93" i="1" s="1"/>
  <c r="E89" i="1"/>
  <c r="E93" i="1" s="1"/>
  <c r="D89" i="1"/>
  <c r="D93" i="1" s="1"/>
  <c r="D95" i="1" s="1"/>
  <c r="C89" i="1"/>
  <c r="C93" i="1" s="1"/>
  <c r="F77" i="1"/>
  <c r="D77" i="1"/>
  <c r="C77" i="1"/>
  <c r="B77" i="1"/>
  <c r="B76" i="1"/>
  <c r="F75" i="1"/>
  <c r="E75" i="1"/>
  <c r="D75" i="1"/>
  <c r="C75" i="1"/>
  <c r="F74" i="1"/>
  <c r="F76" i="1" s="1"/>
  <c r="E74" i="1"/>
  <c r="E76" i="1" s="1"/>
  <c r="E78" i="1" s="1"/>
  <c r="D74" i="1"/>
  <c r="C74" i="1"/>
  <c r="F68" i="1"/>
  <c r="E68" i="1"/>
  <c r="D68" i="1"/>
  <c r="C68" i="1"/>
  <c r="B68" i="1"/>
  <c r="F67" i="1"/>
  <c r="E67" i="1"/>
  <c r="D67" i="1"/>
  <c r="C67" i="1"/>
  <c r="F66" i="1"/>
  <c r="E66" i="1"/>
  <c r="D66" i="1"/>
  <c r="C66" i="1"/>
  <c r="D112" i="1" l="1"/>
  <c r="E112" i="1"/>
  <c r="F95" i="1"/>
  <c r="F112" i="1"/>
  <c r="B95" i="1"/>
  <c r="C76" i="1"/>
  <c r="C78" i="1" s="1"/>
  <c r="D76" i="1"/>
  <c r="D78" i="1" s="1"/>
  <c r="B78" i="1"/>
  <c r="E138" i="1"/>
  <c r="E140" i="1" s="1"/>
  <c r="F78" i="1"/>
  <c r="B140" i="1"/>
  <c r="C95" i="1"/>
  <c r="E95" i="1"/>
  <c r="E141" i="1"/>
  <c r="D138" i="1"/>
  <c r="D140" i="1" s="1"/>
</calcChain>
</file>

<file path=xl/sharedStrings.xml><?xml version="1.0" encoding="utf-8"?>
<sst xmlns="http://schemas.openxmlformats.org/spreadsheetml/2006/main" count="44" uniqueCount="37">
  <si>
    <t>Fondo de Saneamiento y Fortalecimiento Financiero</t>
  </si>
  <si>
    <t>Balance General al 31 de diciembre</t>
  </si>
  <si>
    <t>En miles de US$</t>
  </si>
  <si>
    <t>Rubros</t>
  </si>
  <si>
    <t>Activos</t>
  </si>
  <si>
    <t>Pasivos</t>
  </si>
  <si>
    <t>Patrimonio</t>
  </si>
  <si>
    <t>Estado de Resultado, periodo terminado al 31 de diciembre</t>
  </si>
  <si>
    <t>Ingresos de Operación</t>
  </si>
  <si>
    <t>Gastos de Operación</t>
  </si>
  <si>
    <t>Utilidad de Operación</t>
  </si>
  <si>
    <t>Otros</t>
  </si>
  <si>
    <t>Resultados</t>
  </si>
  <si>
    <t>Al 31 de diciembre (En miles de US$)</t>
  </si>
  <si>
    <t>Carteras de Préstamos</t>
  </si>
  <si>
    <t>Permutada</t>
  </si>
  <si>
    <t>Transferida</t>
  </si>
  <si>
    <t>Acciones</t>
  </si>
  <si>
    <t>Aporte BCR</t>
  </si>
  <si>
    <t>Sub total</t>
  </si>
  <si>
    <t>Reservas de Saneamiento</t>
  </si>
  <si>
    <t>Cartera Neta</t>
  </si>
  <si>
    <t>CARTERA DE ACTIVOS EXTRAORDINARIOS</t>
  </si>
  <si>
    <t>Activos Extraordinarios</t>
  </si>
  <si>
    <t>Cartera FOSAFFI</t>
  </si>
  <si>
    <t>Reserva (cartera FOSAFFI)</t>
  </si>
  <si>
    <t>Cartera Neta FOSAFFI</t>
  </si>
  <si>
    <t>CUMPLIMIENTO DE PLANES DE NEGOCIO</t>
  </si>
  <si>
    <t>META ANUAL</t>
  </si>
  <si>
    <t>Recuperación de cartera</t>
  </si>
  <si>
    <t>Comercialización de Activos Ext.</t>
  </si>
  <si>
    <t>Total de meta anual</t>
  </si>
  <si>
    <t>RALIZADO</t>
  </si>
  <si>
    <t>Total realizado anual</t>
  </si>
  <si>
    <t>% CUMPLIMIENTO</t>
  </si>
  <si>
    <t>CARTERA DE CRÉDITOS</t>
  </si>
  <si>
    <t>SITUACIÓN FINANCIERA Y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</si>
</sst>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20"/>
      <color rgb="FF0000FF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3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6"/>
      <color theme="1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3" fillId="3" borderId="0" xfId="0" applyFont="1" applyFill="1"/>
    <xf numFmtId="0" fontId="3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43" fontId="6" fillId="2" borderId="4" xfId="1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top" wrapText="1"/>
    </xf>
    <xf numFmtId="43" fontId="6" fillId="2" borderId="0" xfId="1" applyFont="1" applyFill="1"/>
    <xf numFmtId="39" fontId="6" fillId="2" borderId="4" xfId="1" applyNumberFormat="1" applyFont="1" applyFill="1" applyBorder="1" applyAlignment="1">
      <alignment horizontal="left" vertical="center" wrapText="1" indent="2"/>
    </xf>
    <xf numFmtId="39" fontId="6" fillId="2" borderId="0" xfId="1" applyNumberFormat="1" applyFont="1" applyFill="1" applyBorder="1" applyAlignment="1">
      <alignment vertical="center" wrapText="1"/>
    </xf>
    <xf numFmtId="39" fontId="6" fillId="2" borderId="4" xfId="0" applyNumberFormat="1" applyFont="1" applyFill="1" applyBorder="1" applyAlignment="1">
      <alignment vertical="center" wrapText="1"/>
    </xf>
    <xf numFmtId="39" fontId="6" fillId="2" borderId="4" xfId="0" applyNumberFormat="1" applyFont="1" applyFill="1" applyBorder="1" applyAlignment="1">
      <alignment horizontal="left" vertical="center" wrapText="1" indent="2"/>
    </xf>
    <xf numFmtId="43" fontId="6" fillId="2" borderId="4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left" vertical="center" wrapText="1" indent="2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 indent="2"/>
    </xf>
    <xf numFmtId="43" fontId="6" fillId="2" borderId="9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 indent="2"/>
    </xf>
    <xf numFmtId="39" fontId="7" fillId="2" borderId="0" xfId="1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left" vertical="center" wrapText="1" indent="6"/>
    </xf>
    <xf numFmtId="0" fontId="10" fillId="2" borderId="0" xfId="0" applyFont="1" applyFill="1" applyBorder="1" applyAlignment="1">
      <alignment horizontal="left" vertical="center" wrapText="1" indent="2"/>
    </xf>
    <xf numFmtId="39" fontId="11" fillId="2" borderId="0" xfId="1" applyNumberFormat="1" applyFont="1" applyFill="1" applyBorder="1" applyAlignment="1">
      <alignment horizontal="left" vertical="center"/>
    </xf>
    <xf numFmtId="39" fontId="10" fillId="2" borderId="0" xfId="1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left" vertical="center" wrapText="1" indent="6"/>
    </xf>
    <xf numFmtId="43" fontId="13" fillId="2" borderId="0" xfId="1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39" fontId="6" fillId="2" borderId="9" xfId="1" applyNumberFormat="1" applyFont="1" applyFill="1" applyBorder="1" applyAlignment="1">
      <alignment horizontal="right" vertical="top" wrapText="1"/>
    </xf>
    <xf numFmtId="43" fontId="6" fillId="2" borderId="9" xfId="1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8" fontId="6" fillId="2" borderId="0" xfId="0" applyNumberFormat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horizontal="center"/>
    </xf>
    <xf numFmtId="0" fontId="7" fillId="2" borderId="0" xfId="0" applyFont="1" applyFill="1"/>
    <xf numFmtId="166" fontId="6" fillId="2" borderId="0" xfId="2" applyNumberFormat="1" applyFont="1" applyFill="1" applyAlignment="1">
      <alignment horizontal="center"/>
    </xf>
    <xf numFmtId="2" fontId="3" fillId="0" borderId="0" xfId="0" applyNumberFormat="1" applyFont="1" applyFill="1"/>
    <xf numFmtId="0" fontId="2" fillId="0" borderId="0" xfId="0" applyFont="1" applyFill="1"/>
    <xf numFmtId="43" fontId="6" fillId="2" borderId="0" xfId="1" applyFont="1" applyFill="1" applyBorder="1" applyAlignment="1">
      <alignment horizontal="right"/>
    </xf>
    <xf numFmtId="43" fontId="7" fillId="2" borderId="0" xfId="1" applyFont="1" applyFill="1" applyAlignment="1">
      <alignment horizontal="right"/>
    </xf>
    <xf numFmtId="43" fontId="6" fillId="2" borderId="0" xfId="0" applyNumberFormat="1" applyFont="1" applyFill="1" applyAlignment="1">
      <alignment horizontal="right"/>
    </xf>
    <xf numFmtId="43" fontId="7" fillId="2" borderId="0" xfId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43" fontId="6" fillId="2" borderId="0" xfId="1" applyFont="1" applyFill="1" applyAlignment="1">
      <alignment horizontal="right"/>
    </xf>
    <xf numFmtId="166" fontId="6" fillId="2" borderId="0" xfId="2" applyNumberFormat="1" applyFont="1" applyFill="1" applyAlignment="1">
      <alignment horizontal="right"/>
    </xf>
    <xf numFmtId="39" fontId="6" fillId="2" borderId="9" xfId="1" applyNumberFormat="1" applyFont="1" applyFill="1" applyBorder="1" applyAlignment="1">
      <alignment vertical="top" wrapText="1"/>
    </xf>
    <xf numFmtId="43" fontId="6" fillId="2" borderId="9" xfId="1" applyFont="1" applyFill="1" applyBorder="1" applyAlignment="1">
      <alignment vertical="center" wrapText="1"/>
    </xf>
    <xf numFmtId="43" fontId="0" fillId="0" borderId="0" xfId="1" applyFont="1" applyAlignment="1"/>
    <xf numFmtId="43" fontId="6" fillId="2" borderId="5" xfId="1" applyFont="1" applyFill="1" applyBorder="1" applyAlignment="1">
      <alignment horizontal="right" vertical="top" wrapText="1"/>
    </xf>
    <xf numFmtId="43" fontId="8" fillId="2" borderId="0" xfId="1" applyFont="1" applyFill="1" applyBorder="1" applyAlignment="1" applyProtection="1">
      <alignment horizontal="right"/>
    </xf>
    <xf numFmtId="43" fontId="6" fillId="2" borderId="0" xfId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32">
    <cellStyle name="Excel Built-in Normal" xfId="3" xr:uid="{00000000-0005-0000-0000-000000000000}"/>
    <cellStyle name="Millares" xfId="1" builtinId="3"/>
    <cellStyle name="Millares 2" xfId="4" xr:uid="{00000000-0005-0000-0000-000002000000}"/>
    <cellStyle name="Millares 2 2" xfId="5" xr:uid="{00000000-0005-0000-0000-000003000000}"/>
    <cellStyle name="Millares 3" xfId="6" xr:uid="{00000000-0005-0000-0000-000004000000}"/>
    <cellStyle name="Millares 4" xfId="7" xr:uid="{00000000-0005-0000-0000-000005000000}"/>
    <cellStyle name="Millares 5" xfId="8" xr:uid="{00000000-0005-0000-0000-000006000000}"/>
    <cellStyle name="Moneda 2" xfId="9" xr:uid="{00000000-0005-0000-0000-000007000000}"/>
    <cellStyle name="Moneda 3" xfId="10" xr:uid="{00000000-0005-0000-0000-000008000000}"/>
    <cellStyle name="Moneda 4" xfId="11" xr:uid="{00000000-0005-0000-0000-000009000000}"/>
    <cellStyle name="Normal" xfId="0" builtinId="0"/>
    <cellStyle name="Normal 2" xfId="12" xr:uid="{00000000-0005-0000-0000-00000B000000}"/>
    <cellStyle name="Normal 2 2" xfId="13" xr:uid="{00000000-0005-0000-0000-00000C000000}"/>
    <cellStyle name="Normal 2 3" xfId="14" xr:uid="{00000000-0005-0000-0000-00000D000000}"/>
    <cellStyle name="Normal 2 4" xfId="15" xr:uid="{00000000-0005-0000-0000-00000E000000}"/>
    <cellStyle name="Normal 3" xfId="16" xr:uid="{00000000-0005-0000-0000-00000F000000}"/>
    <cellStyle name="Normal 3 2" xfId="17" xr:uid="{00000000-0005-0000-0000-000010000000}"/>
    <cellStyle name="Normal 3 2 2" xfId="18" xr:uid="{00000000-0005-0000-0000-000011000000}"/>
    <cellStyle name="Normal 3 2 3" xfId="19" xr:uid="{00000000-0005-0000-0000-000012000000}"/>
    <cellStyle name="Normal 3 3" xfId="20" xr:uid="{00000000-0005-0000-0000-000013000000}"/>
    <cellStyle name="Normal 3 4" xfId="21" xr:uid="{00000000-0005-0000-0000-000014000000}"/>
    <cellStyle name="Normal 4" xfId="22" xr:uid="{00000000-0005-0000-0000-000015000000}"/>
    <cellStyle name="Normal 5" xfId="23" xr:uid="{00000000-0005-0000-0000-000016000000}"/>
    <cellStyle name="Normal 6" xfId="24" xr:uid="{00000000-0005-0000-0000-000017000000}"/>
    <cellStyle name="Normal 6 2" xfId="25" xr:uid="{00000000-0005-0000-0000-000018000000}"/>
    <cellStyle name="Normal 7" xfId="26" xr:uid="{00000000-0005-0000-0000-000019000000}"/>
    <cellStyle name="Normal 7 2" xfId="27" xr:uid="{00000000-0005-0000-0000-00001A000000}"/>
    <cellStyle name="Porcentaje" xfId="2" builtinId="5"/>
    <cellStyle name="Porcentaje 2" xfId="28" xr:uid="{00000000-0005-0000-0000-00001C000000}"/>
    <cellStyle name="Porcentaje 2 2" xfId="29" xr:uid="{00000000-0005-0000-0000-00001D000000}"/>
    <cellStyle name="Porcentaje 3" xfId="30" xr:uid="{00000000-0005-0000-0000-00001E000000}"/>
    <cellStyle name="Porcentaje 4" xfId="3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4</xdr:row>
      <xdr:rowOff>161925</xdr:rowOff>
    </xdr:from>
    <xdr:to>
      <xdr:col>3</xdr:col>
      <xdr:colOff>695325</xdr:colOff>
      <xdr:row>42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66701" y="895350"/>
          <a:ext cx="4152899" cy="7239000"/>
          <a:chOff x="317" y="245"/>
          <a:chExt cx="9440" cy="1175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17" y="245"/>
            <a:ext cx="9440" cy="11750"/>
          </a:xfrm>
          <a:custGeom>
            <a:avLst/>
            <a:gdLst>
              <a:gd name="T0" fmla="+- 0 317 317"/>
              <a:gd name="T1" fmla="*/ T0 w 10930"/>
              <a:gd name="T2" fmla="+- 0 11995 245"/>
              <a:gd name="T3" fmla="*/ 11995 h 11750"/>
              <a:gd name="T4" fmla="+- 0 11247 317"/>
              <a:gd name="T5" fmla="*/ T4 w 10930"/>
              <a:gd name="T6" fmla="+- 0 11995 245"/>
              <a:gd name="T7" fmla="*/ 11995 h 11750"/>
              <a:gd name="T8" fmla="+- 0 11247 317"/>
              <a:gd name="T9" fmla="*/ T8 w 10930"/>
              <a:gd name="T10" fmla="+- 0 245 245"/>
              <a:gd name="T11" fmla="*/ 245 h 11750"/>
              <a:gd name="T12" fmla="+- 0 317 317"/>
              <a:gd name="T13" fmla="*/ T12 w 10930"/>
              <a:gd name="T14" fmla="+- 0 245 245"/>
              <a:gd name="T15" fmla="*/ 245 h 11750"/>
              <a:gd name="T16" fmla="+- 0 317 317"/>
              <a:gd name="T17" fmla="*/ T16 w 10930"/>
              <a:gd name="T18" fmla="+- 0 11995 245"/>
              <a:gd name="T19" fmla="*/ 11995 h 1175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930" h="11750">
                <a:moveTo>
                  <a:pt x="0" y="11750"/>
                </a:moveTo>
                <a:lnTo>
                  <a:pt x="10930" y="11750"/>
                </a:lnTo>
                <a:lnTo>
                  <a:pt x="10930" y="0"/>
                </a:lnTo>
                <a:lnTo>
                  <a:pt x="0" y="0"/>
                </a:lnTo>
                <a:lnTo>
                  <a:pt x="0" y="11750"/>
                </a:lnTo>
                <a:close/>
              </a:path>
            </a:pathLst>
          </a:custGeom>
          <a:solidFill>
            <a:srgbClr val="4F81B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676275</xdr:colOff>
      <xdr:row>17</xdr:row>
      <xdr:rowOff>114300</xdr:rowOff>
    </xdr:from>
    <xdr:to>
      <xdr:col>3</xdr:col>
      <xdr:colOff>371475</xdr:colOff>
      <xdr:row>27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6275" y="3324225"/>
          <a:ext cx="3429000" cy="19621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3000">
              <a:solidFill>
                <a:schemeClr val="bg1"/>
              </a:solidFill>
            </a:rPr>
            <a:t>RESUMEN ESTADÍSTICO</a:t>
          </a:r>
        </a:p>
        <a:p>
          <a:pPr algn="ctr"/>
          <a:endParaRPr lang="es-ES_tradnl" sz="3000">
            <a:solidFill>
              <a:schemeClr val="bg1"/>
            </a:solidFill>
          </a:endParaRPr>
        </a:p>
        <a:p>
          <a:pPr algn="ctr"/>
          <a:r>
            <a:rPr lang="es-ES_tradnl" sz="3000">
              <a:solidFill>
                <a:schemeClr val="bg1"/>
              </a:solidFill>
            </a:rPr>
            <a:t>2016 - 2020</a:t>
          </a:r>
        </a:p>
      </xdr:txBody>
    </xdr:sp>
    <xdr:clientData/>
  </xdr:twoCellAnchor>
  <xdr:twoCellAnchor editAs="oneCell">
    <xdr:from>
      <xdr:col>0</xdr:col>
      <xdr:colOff>876300</xdr:colOff>
      <xdr:row>6</xdr:row>
      <xdr:rowOff>0</xdr:rowOff>
    </xdr:from>
    <xdr:to>
      <xdr:col>3</xdr:col>
      <xdr:colOff>0</xdr:colOff>
      <xdr:row>12</xdr:row>
      <xdr:rowOff>122851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D35EF5-391B-4E7C-8519-C7869BFE9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14425"/>
          <a:ext cx="2847975" cy="126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showWhiteSpace="0" view="pageLayout" zoomScaleNormal="100" workbookViewId="0">
      <selection activeCell="I11" sqref="I11"/>
    </sheetView>
  </sheetViews>
  <sheetFormatPr baseColWidth="10" defaultColWidth="11.42578125" defaultRowHeight="15" x14ac:dyDescent="0.2"/>
  <cols>
    <col min="1" max="1" width="27.85546875" style="52" customWidth="1"/>
    <col min="2" max="7" width="12.140625" style="3" customWidth="1"/>
    <col min="8" max="16384" width="11.42578125" style="3"/>
  </cols>
  <sheetData>
    <row r="1" spans="1:7" x14ac:dyDescent="0.2">
      <c r="A1" s="1"/>
      <c r="B1" s="2"/>
      <c r="C1" s="2"/>
      <c r="D1" s="2"/>
      <c r="E1" s="2"/>
      <c r="F1" s="2"/>
      <c r="G1" s="2"/>
    </row>
    <row r="2" spans="1:7" ht="14.25" x14ac:dyDescent="0.2">
      <c r="A2" s="68" t="s">
        <v>0</v>
      </c>
      <c r="B2" s="68"/>
      <c r="C2" s="68"/>
      <c r="D2" s="68"/>
      <c r="E2" s="68"/>
      <c r="F2" s="68"/>
      <c r="G2" s="2"/>
    </row>
    <row r="3" spans="1:7" ht="14.25" x14ac:dyDescent="0.2">
      <c r="A3" s="68"/>
      <c r="B3" s="68"/>
      <c r="C3" s="68"/>
      <c r="D3" s="68"/>
      <c r="E3" s="68"/>
      <c r="F3" s="68"/>
      <c r="G3" s="2"/>
    </row>
    <row r="4" spans="1:7" ht="14.25" x14ac:dyDescent="0.2">
      <c r="A4" s="68"/>
      <c r="B4" s="68"/>
      <c r="C4" s="68"/>
      <c r="D4" s="68"/>
      <c r="E4" s="68"/>
      <c r="F4" s="68"/>
      <c r="G4" s="2"/>
    </row>
    <row r="5" spans="1:7" x14ac:dyDescent="0.2">
      <c r="A5" s="1"/>
      <c r="B5" s="2"/>
      <c r="C5" s="2"/>
      <c r="D5" s="2"/>
      <c r="E5" s="2"/>
      <c r="F5" s="2"/>
      <c r="G5" s="2"/>
    </row>
    <row r="6" spans="1:7" x14ac:dyDescent="0.2">
      <c r="A6" s="1"/>
      <c r="B6" s="2"/>
      <c r="C6" s="2"/>
      <c r="D6" s="2"/>
      <c r="E6" s="2"/>
      <c r="F6" s="4"/>
      <c r="G6" s="2"/>
    </row>
    <row r="7" spans="1:7" x14ac:dyDescent="0.2">
      <c r="A7" s="1"/>
      <c r="B7" s="2"/>
      <c r="C7" s="2"/>
      <c r="D7" s="2"/>
      <c r="E7" s="2"/>
      <c r="F7" s="4"/>
      <c r="G7" s="2"/>
    </row>
    <row r="8" spans="1:7" x14ac:dyDescent="0.2">
      <c r="A8" s="1"/>
      <c r="B8" s="2"/>
      <c r="C8" s="2"/>
      <c r="D8" s="2"/>
      <c r="E8" s="2"/>
      <c r="F8" s="4"/>
      <c r="G8" s="2"/>
    </row>
    <row r="9" spans="1:7" x14ac:dyDescent="0.2">
      <c r="A9" s="1"/>
      <c r="B9" s="2"/>
      <c r="C9" s="2"/>
      <c r="D9" s="2"/>
      <c r="E9" s="2"/>
      <c r="F9" s="4"/>
      <c r="G9" s="2"/>
    </row>
    <row r="10" spans="1:7" x14ac:dyDescent="0.2">
      <c r="A10" s="1"/>
      <c r="B10" s="2"/>
      <c r="C10" s="2"/>
      <c r="D10" s="2"/>
      <c r="E10" s="2"/>
      <c r="F10" s="4"/>
      <c r="G10" s="2"/>
    </row>
    <row r="11" spans="1:7" x14ac:dyDescent="0.2">
      <c r="A11" s="1"/>
      <c r="B11" s="2"/>
      <c r="C11" s="2"/>
      <c r="D11" s="2"/>
      <c r="E11" s="2"/>
      <c r="F11" s="4"/>
      <c r="G11" s="2"/>
    </row>
    <row r="12" spans="1:7" x14ac:dyDescent="0.2">
      <c r="A12" s="1"/>
      <c r="B12" s="2"/>
      <c r="C12" s="2"/>
      <c r="D12" s="2"/>
      <c r="E12" s="2"/>
      <c r="F12" s="4"/>
      <c r="G12" s="2"/>
    </row>
    <row r="13" spans="1:7" x14ac:dyDescent="0.2">
      <c r="A13" s="1"/>
      <c r="B13" s="2"/>
      <c r="C13" s="2"/>
      <c r="D13" s="2"/>
      <c r="E13" s="2"/>
      <c r="F13" s="4"/>
      <c r="G13" s="2"/>
    </row>
    <row r="14" spans="1:7" x14ac:dyDescent="0.2">
      <c r="A14" s="1"/>
      <c r="B14" s="2"/>
      <c r="C14" s="2"/>
      <c r="D14" s="2"/>
      <c r="E14" s="2"/>
      <c r="F14" s="4"/>
      <c r="G14" s="2"/>
    </row>
    <row r="15" spans="1:7" x14ac:dyDescent="0.2">
      <c r="A15" s="1"/>
      <c r="B15" s="2"/>
      <c r="C15" s="2"/>
      <c r="D15" s="2"/>
      <c r="E15" s="2"/>
      <c r="F15" s="4"/>
      <c r="G15" s="2"/>
    </row>
    <row r="16" spans="1:7" x14ac:dyDescent="0.2">
      <c r="A16" s="1"/>
      <c r="B16" s="2"/>
      <c r="C16" s="2"/>
      <c r="D16" s="2"/>
      <c r="E16" s="2"/>
      <c r="F16" s="4"/>
      <c r="G16" s="2"/>
    </row>
    <row r="17" spans="1:7" x14ac:dyDescent="0.2">
      <c r="A17" s="1"/>
      <c r="B17" s="2"/>
      <c r="C17" s="2"/>
      <c r="D17" s="2"/>
      <c r="E17" s="2"/>
      <c r="F17" s="4"/>
      <c r="G17" s="2"/>
    </row>
    <row r="18" spans="1:7" x14ac:dyDescent="0.2">
      <c r="A18" s="1"/>
      <c r="B18" s="2"/>
      <c r="C18" s="2"/>
      <c r="D18" s="2"/>
      <c r="E18" s="2"/>
      <c r="F18" s="4"/>
      <c r="G18" s="2"/>
    </row>
    <row r="19" spans="1:7" x14ac:dyDescent="0.2">
      <c r="A19" s="1"/>
      <c r="B19" s="2"/>
      <c r="C19" s="2"/>
      <c r="D19" s="2"/>
      <c r="E19" s="2"/>
      <c r="F19" s="4"/>
      <c r="G19" s="2"/>
    </row>
    <row r="20" spans="1:7" x14ac:dyDescent="0.2">
      <c r="A20" s="1"/>
      <c r="B20" s="2"/>
      <c r="C20" s="2"/>
      <c r="D20" s="2"/>
      <c r="E20" s="2"/>
      <c r="F20" s="4"/>
      <c r="G20" s="2"/>
    </row>
    <row r="21" spans="1:7" x14ac:dyDescent="0.2">
      <c r="A21" s="1"/>
      <c r="B21" s="2"/>
      <c r="C21" s="2"/>
      <c r="D21" s="2"/>
      <c r="E21" s="2"/>
      <c r="F21" s="4"/>
      <c r="G21" s="2"/>
    </row>
    <row r="22" spans="1:7" x14ac:dyDescent="0.2">
      <c r="A22" s="1"/>
      <c r="B22" s="2"/>
      <c r="C22" s="2"/>
      <c r="D22" s="2"/>
      <c r="E22" s="2"/>
      <c r="F22" s="4"/>
      <c r="G22" s="2"/>
    </row>
    <row r="23" spans="1:7" x14ac:dyDescent="0.2">
      <c r="A23" s="1"/>
      <c r="B23" s="2"/>
      <c r="C23" s="2"/>
      <c r="D23" s="2"/>
      <c r="E23" s="2"/>
      <c r="F23" s="4"/>
      <c r="G23" s="2"/>
    </row>
    <row r="24" spans="1:7" x14ac:dyDescent="0.2">
      <c r="A24" s="1"/>
      <c r="B24" s="2"/>
      <c r="C24" s="2"/>
      <c r="D24" s="2"/>
      <c r="E24" s="2"/>
      <c r="F24" s="4"/>
      <c r="G24" s="2"/>
    </row>
    <row r="25" spans="1:7" x14ac:dyDescent="0.2">
      <c r="A25" s="1"/>
      <c r="B25" s="2"/>
      <c r="C25" s="2"/>
      <c r="D25" s="2"/>
      <c r="E25" s="2"/>
      <c r="F25" s="4"/>
      <c r="G25" s="2"/>
    </row>
    <row r="26" spans="1:7" x14ac:dyDescent="0.2">
      <c r="A26" s="1"/>
      <c r="B26" s="2"/>
      <c r="C26" s="2"/>
      <c r="D26" s="2"/>
      <c r="E26" s="2"/>
      <c r="F26" s="4"/>
      <c r="G26" s="2"/>
    </row>
    <row r="27" spans="1:7" x14ac:dyDescent="0.2">
      <c r="A27" s="1"/>
      <c r="B27" s="2"/>
      <c r="C27" s="2"/>
      <c r="D27" s="2"/>
      <c r="E27" s="2"/>
      <c r="F27" s="4"/>
      <c r="G27" s="2"/>
    </row>
    <row r="28" spans="1:7" x14ac:dyDescent="0.2">
      <c r="A28" s="1"/>
      <c r="B28" s="2"/>
      <c r="C28" s="2"/>
      <c r="D28" s="2"/>
      <c r="E28" s="2"/>
      <c r="F28" s="4"/>
      <c r="G28" s="2"/>
    </row>
    <row r="29" spans="1:7" x14ac:dyDescent="0.2">
      <c r="A29" s="1"/>
      <c r="B29" s="2"/>
      <c r="C29" s="2"/>
      <c r="D29" s="2"/>
      <c r="E29" s="2"/>
      <c r="F29" s="4"/>
      <c r="G29" s="2"/>
    </row>
    <row r="30" spans="1:7" x14ac:dyDescent="0.2">
      <c r="A30" s="1"/>
      <c r="B30" s="2"/>
      <c r="C30" s="2"/>
      <c r="D30" s="2"/>
      <c r="E30" s="2"/>
      <c r="F30" s="4"/>
      <c r="G30" s="2"/>
    </row>
    <row r="31" spans="1:7" x14ac:dyDescent="0.2">
      <c r="A31" s="1"/>
      <c r="B31" s="2"/>
      <c r="C31" s="2"/>
      <c r="D31" s="2"/>
      <c r="E31" s="2"/>
      <c r="F31" s="4"/>
      <c r="G31" s="2"/>
    </row>
    <row r="32" spans="1:7" x14ac:dyDescent="0.2">
      <c r="A32" s="1"/>
      <c r="B32" s="2"/>
      <c r="C32" s="2"/>
      <c r="D32" s="2"/>
      <c r="E32" s="2"/>
      <c r="F32" s="4"/>
      <c r="G32" s="2"/>
    </row>
    <row r="33" spans="1:7" x14ac:dyDescent="0.2">
      <c r="A33" s="1"/>
      <c r="B33" s="2"/>
      <c r="C33" s="2"/>
      <c r="D33" s="2"/>
      <c r="E33" s="2"/>
      <c r="F33" s="4"/>
      <c r="G33" s="2"/>
    </row>
    <row r="34" spans="1:7" x14ac:dyDescent="0.2">
      <c r="A34" s="1"/>
      <c r="B34" s="2"/>
      <c r="C34" s="2"/>
      <c r="D34" s="2"/>
      <c r="E34" s="2"/>
      <c r="F34" s="4"/>
      <c r="G34" s="2"/>
    </row>
    <row r="35" spans="1:7" x14ac:dyDescent="0.2">
      <c r="A35" s="1"/>
      <c r="B35" s="2"/>
      <c r="C35" s="2"/>
      <c r="D35" s="2"/>
      <c r="E35" s="2"/>
      <c r="F35" s="4"/>
      <c r="G35" s="2"/>
    </row>
    <row r="36" spans="1:7" x14ac:dyDescent="0.2">
      <c r="A36" s="1"/>
      <c r="B36" s="2"/>
      <c r="C36" s="2"/>
      <c r="D36" s="2"/>
      <c r="E36" s="2"/>
      <c r="F36" s="4"/>
      <c r="G36" s="2"/>
    </row>
    <row r="37" spans="1:7" x14ac:dyDescent="0.2">
      <c r="A37" s="1"/>
      <c r="B37" s="2"/>
      <c r="C37" s="2"/>
      <c r="D37" s="2"/>
      <c r="E37" s="2"/>
      <c r="F37" s="4"/>
      <c r="G37" s="2"/>
    </row>
    <row r="38" spans="1:7" x14ac:dyDescent="0.2">
      <c r="A38" s="1"/>
      <c r="B38" s="2"/>
      <c r="C38" s="2"/>
      <c r="D38" s="2"/>
      <c r="E38" s="2"/>
      <c r="F38" s="4"/>
      <c r="G38" s="2"/>
    </row>
    <row r="39" spans="1:7" x14ac:dyDescent="0.2">
      <c r="A39" s="1"/>
      <c r="B39" s="2"/>
      <c r="C39" s="2"/>
      <c r="D39" s="2"/>
      <c r="E39" s="2"/>
      <c r="F39" s="4"/>
      <c r="G39" s="2"/>
    </row>
    <row r="40" spans="1:7" x14ac:dyDescent="0.2">
      <c r="A40" s="1"/>
      <c r="B40" s="2"/>
      <c r="C40" s="2"/>
      <c r="D40" s="2"/>
      <c r="E40" s="2"/>
      <c r="F40" s="4"/>
      <c r="G40" s="2"/>
    </row>
    <row r="41" spans="1:7" x14ac:dyDescent="0.2">
      <c r="A41" s="1"/>
      <c r="B41" s="2"/>
      <c r="C41" s="2"/>
      <c r="D41" s="2"/>
      <c r="E41" s="2"/>
      <c r="F41" s="4"/>
      <c r="G41" s="2"/>
    </row>
    <row r="42" spans="1:7" x14ac:dyDescent="0.2">
      <c r="A42" s="1"/>
      <c r="B42" s="2"/>
      <c r="C42" s="2"/>
      <c r="D42" s="2"/>
      <c r="E42" s="2"/>
      <c r="F42" s="4"/>
      <c r="G42" s="2"/>
    </row>
    <row r="43" spans="1:7" x14ac:dyDescent="0.2">
      <c r="A43" s="1"/>
      <c r="B43" s="2"/>
      <c r="C43" s="2"/>
      <c r="D43" s="2"/>
      <c r="E43" s="2"/>
      <c r="F43" s="4"/>
      <c r="G43" s="2"/>
    </row>
    <row r="44" spans="1:7" x14ac:dyDescent="0.2">
      <c r="A44" s="1"/>
      <c r="B44" s="2"/>
      <c r="C44" s="2"/>
      <c r="D44" s="2"/>
      <c r="E44" s="2"/>
      <c r="F44" s="2"/>
      <c r="G44" s="2"/>
    </row>
    <row r="45" spans="1:7" x14ac:dyDescent="0.2">
      <c r="A45" s="1"/>
      <c r="B45" s="2"/>
      <c r="C45" s="2"/>
      <c r="D45" s="2"/>
      <c r="E45" s="2"/>
      <c r="F45" s="2"/>
      <c r="G45" s="2"/>
    </row>
    <row r="46" spans="1:7" x14ac:dyDescent="0.2">
      <c r="A46" s="1"/>
      <c r="B46" s="2"/>
      <c r="C46" s="2"/>
      <c r="D46" s="2"/>
      <c r="E46" s="2"/>
      <c r="F46" s="2"/>
      <c r="G46" s="2"/>
    </row>
    <row r="47" spans="1:7" x14ac:dyDescent="0.2">
      <c r="A47" s="1"/>
      <c r="B47" s="2"/>
      <c r="C47" s="2"/>
      <c r="D47" s="2"/>
      <c r="E47" s="2"/>
      <c r="F47" s="2"/>
      <c r="G47" s="2"/>
    </row>
    <row r="48" spans="1:7" x14ac:dyDescent="0.2">
      <c r="A48" s="1"/>
      <c r="B48" s="2"/>
      <c r="C48" s="2"/>
      <c r="D48" s="2"/>
      <c r="E48" s="2"/>
      <c r="F48" s="2"/>
      <c r="G48" s="2"/>
    </row>
    <row r="49" spans="1:7" x14ac:dyDescent="0.2">
      <c r="A49" s="1"/>
      <c r="B49" s="2"/>
      <c r="C49" s="2"/>
      <c r="D49" s="2"/>
      <c r="E49" s="2"/>
      <c r="F49" s="2"/>
      <c r="G49" s="2"/>
    </row>
    <row r="50" spans="1:7" x14ac:dyDescent="0.2">
      <c r="A50" s="1"/>
      <c r="B50" s="2"/>
      <c r="C50" s="2"/>
      <c r="D50" s="2"/>
      <c r="E50" s="2"/>
      <c r="F50" s="2"/>
      <c r="G50" s="2"/>
    </row>
    <row r="51" spans="1:7" x14ac:dyDescent="0.2">
      <c r="A51" s="1"/>
      <c r="B51" s="2"/>
      <c r="C51" s="2"/>
      <c r="D51" s="2"/>
      <c r="E51" s="2"/>
      <c r="F51" s="2"/>
      <c r="G51" s="2"/>
    </row>
    <row r="52" spans="1:7" x14ac:dyDescent="0.2">
      <c r="A52" s="1"/>
      <c r="B52" s="2"/>
      <c r="C52" s="2"/>
      <c r="D52" s="2"/>
      <c r="E52" s="2"/>
      <c r="F52" s="2"/>
      <c r="G52" s="2"/>
    </row>
    <row r="53" spans="1:7" x14ac:dyDescent="0.2">
      <c r="A53" s="1"/>
      <c r="B53" s="2"/>
      <c r="C53" s="2"/>
      <c r="D53" s="2"/>
      <c r="E53" s="2"/>
      <c r="F53" s="2"/>
      <c r="G53" s="2"/>
    </row>
    <row r="54" spans="1:7" ht="15" customHeight="1" x14ac:dyDescent="0.2">
      <c r="A54" s="69" t="s">
        <v>36</v>
      </c>
      <c r="B54" s="69"/>
      <c r="C54" s="69"/>
      <c r="D54" s="69"/>
      <c r="E54" s="69"/>
      <c r="F54" s="69"/>
      <c r="G54" s="69"/>
    </row>
    <row r="55" spans="1:7" ht="15" customHeight="1" x14ac:dyDescent="0.2">
      <c r="A55" s="69"/>
      <c r="B55" s="69"/>
      <c r="C55" s="69"/>
      <c r="D55" s="69"/>
      <c r="E55" s="69"/>
      <c r="F55" s="69"/>
      <c r="G55" s="69"/>
    </row>
    <row r="56" spans="1:7" ht="15" customHeight="1" x14ac:dyDescent="0.2">
      <c r="A56" s="69"/>
      <c r="B56" s="69"/>
      <c r="C56" s="69"/>
      <c r="D56" s="69"/>
      <c r="E56" s="69"/>
      <c r="F56" s="69"/>
      <c r="G56" s="69"/>
    </row>
    <row r="57" spans="1:7" ht="15" customHeight="1" x14ac:dyDescent="0.2">
      <c r="A57" s="69"/>
      <c r="B57" s="69"/>
      <c r="C57" s="69"/>
      <c r="D57" s="69"/>
      <c r="E57" s="69"/>
      <c r="F57" s="69"/>
      <c r="G57" s="69"/>
    </row>
    <row r="58" spans="1:7" x14ac:dyDescent="0.2">
      <c r="A58" s="1"/>
      <c r="B58" s="2"/>
      <c r="C58" s="2"/>
      <c r="D58" s="2"/>
      <c r="E58" s="2"/>
      <c r="F58" s="2"/>
      <c r="G58" s="2"/>
    </row>
    <row r="59" spans="1:7" x14ac:dyDescent="0.2">
      <c r="A59" s="1"/>
      <c r="B59" s="2"/>
      <c r="C59" s="2"/>
      <c r="D59" s="2"/>
      <c r="E59" s="2"/>
      <c r="F59" s="2"/>
      <c r="G59" s="2"/>
    </row>
    <row r="60" spans="1:7" x14ac:dyDescent="0.2">
      <c r="A60" s="1"/>
      <c r="B60" s="5"/>
      <c r="C60" s="5"/>
      <c r="D60" s="5"/>
      <c r="E60" s="5"/>
      <c r="F60" s="5"/>
      <c r="G60" s="2"/>
    </row>
    <row r="61" spans="1:7" ht="14.25" x14ac:dyDescent="0.2">
      <c r="A61" s="6"/>
      <c r="B61" s="67" t="s">
        <v>1</v>
      </c>
      <c r="C61" s="67"/>
      <c r="D61" s="67"/>
      <c r="E61" s="67"/>
      <c r="F61" s="67"/>
      <c r="G61" s="6"/>
    </row>
    <row r="62" spans="1:7" ht="14.25" x14ac:dyDescent="0.2">
      <c r="A62" s="6"/>
      <c r="B62" s="7"/>
      <c r="C62" s="7"/>
      <c r="D62" s="7"/>
      <c r="E62" s="7"/>
      <c r="F62" s="7"/>
      <c r="G62" s="6"/>
    </row>
    <row r="63" spans="1:7" ht="14.25" x14ac:dyDescent="0.2">
      <c r="A63" s="6"/>
      <c r="B63" s="67" t="s">
        <v>2</v>
      </c>
      <c r="C63" s="67"/>
      <c r="D63" s="67"/>
      <c r="E63" s="67"/>
      <c r="F63" s="67"/>
      <c r="G63" s="6"/>
    </row>
    <row r="64" spans="1:7" thickBot="1" x14ac:dyDescent="0.25">
      <c r="A64" s="6"/>
      <c r="B64" s="6"/>
      <c r="C64" s="6"/>
      <c r="D64" s="6"/>
      <c r="E64" s="6"/>
      <c r="F64" s="6"/>
      <c r="G64" s="6"/>
    </row>
    <row r="65" spans="1:7" ht="21" customHeight="1" thickTop="1" thickBot="1" x14ac:dyDescent="0.25">
      <c r="A65" s="8" t="s">
        <v>3</v>
      </c>
      <c r="B65" s="9">
        <v>2016</v>
      </c>
      <c r="C65" s="9">
        <v>2017</v>
      </c>
      <c r="D65" s="9">
        <v>2018</v>
      </c>
      <c r="E65" s="9">
        <v>2019</v>
      </c>
      <c r="F65" s="9">
        <v>2020</v>
      </c>
      <c r="G65" s="9"/>
    </row>
    <row r="66" spans="1:7" ht="21" customHeight="1" thickTop="1" thickBot="1" x14ac:dyDescent="0.25">
      <c r="A66" s="10" t="s">
        <v>4</v>
      </c>
      <c r="B66" s="66">
        <v>110209.5</v>
      </c>
      <c r="C66" s="59">
        <f>115400980.66/1000</f>
        <v>115400.98066</v>
      </c>
      <c r="D66" s="59">
        <f>119760370.4/1000</f>
        <v>119760.3704</v>
      </c>
      <c r="E66" s="59">
        <f>129258622.06/1000</f>
        <v>129258.62206000001</v>
      </c>
      <c r="F66" s="59">
        <f>139729695.98/1000</f>
        <v>139729.69597999999</v>
      </c>
      <c r="G66" s="12"/>
    </row>
    <row r="67" spans="1:7" ht="21" customHeight="1" thickTop="1" thickBot="1" x14ac:dyDescent="0.25">
      <c r="A67" s="10" t="s">
        <v>5</v>
      </c>
      <c r="B67" s="59">
        <v>112639.2</v>
      </c>
      <c r="C67" s="59">
        <f>112609852.43/1000</f>
        <v>112609.85243000001</v>
      </c>
      <c r="D67" s="59">
        <f>111978763.79/1000</f>
        <v>111978.76379000001</v>
      </c>
      <c r="E67" s="59">
        <f>111796327.57/1000</f>
        <v>111796.32756999999</v>
      </c>
      <c r="F67" s="59">
        <f>110551381.08/1000</f>
        <v>110551.38107999999</v>
      </c>
      <c r="G67" s="12"/>
    </row>
    <row r="68" spans="1:7" ht="21" customHeight="1" thickTop="1" thickBot="1" x14ac:dyDescent="0.25">
      <c r="A68" s="10" t="s">
        <v>6</v>
      </c>
      <c r="B68" s="59">
        <f>+B66-B67</f>
        <v>-2429.6999999999971</v>
      </c>
      <c r="C68" s="59">
        <f>2791128.23/1000</f>
        <v>2791.1282299999998</v>
      </c>
      <c r="D68" s="59">
        <f>7781606.61/1000</f>
        <v>7781.6066100000007</v>
      </c>
      <c r="E68" s="59">
        <f>17462294.49/1000</f>
        <v>17462.294489999997</v>
      </c>
      <c r="F68" s="59">
        <f>29178314.9/1000</f>
        <v>29178.314899999998</v>
      </c>
      <c r="G68" s="12"/>
    </row>
    <row r="69" spans="1:7" ht="15.75" thickTop="1" thickBot="1" x14ac:dyDescent="0.25">
      <c r="A69" s="10"/>
      <c r="B69" s="14"/>
      <c r="C69" s="14"/>
      <c r="D69" s="15"/>
      <c r="E69" s="16"/>
      <c r="F69" s="17"/>
      <c r="G69" s="6"/>
    </row>
    <row r="70" spans="1:7" ht="15.75" thickTop="1" thickBot="1" x14ac:dyDescent="0.25">
      <c r="A70" s="10"/>
      <c r="B70" s="18"/>
      <c r="C70" s="18"/>
      <c r="D70" s="19"/>
      <c r="E70" s="20"/>
      <c r="F70" s="21"/>
      <c r="G70" s="6"/>
    </row>
    <row r="71" spans="1:7" ht="15.75" thickTop="1" thickBot="1" x14ac:dyDescent="0.25">
      <c r="A71" s="10"/>
      <c r="B71" s="67" t="s">
        <v>7</v>
      </c>
      <c r="C71" s="67"/>
      <c r="D71" s="67"/>
      <c r="E71" s="67"/>
      <c r="F71" s="67"/>
      <c r="G71" s="6"/>
    </row>
    <row r="72" spans="1:7" ht="15.75" thickTop="1" thickBot="1" x14ac:dyDescent="0.25">
      <c r="A72" s="10"/>
      <c r="B72" s="7"/>
      <c r="C72" s="7"/>
      <c r="D72" s="7"/>
      <c r="E72" s="7"/>
      <c r="F72" s="7"/>
      <c r="G72" s="6"/>
    </row>
    <row r="73" spans="1:7" ht="15.75" thickTop="1" thickBot="1" x14ac:dyDescent="0.25">
      <c r="A73" s="10"/>
      <c r="B73" s="67" t="s">
        <v>2</v>
      </c>
      <c r="C73" s="67"/>
      <c r="D73" s="67"/>
      <c r="E73" s="67"/>
      <c r="F73" s="67"/>
      <c r="G73" s="6"/>
    </row>
    <row r="74" spans="1:7" ht="20.25" customHeight="1" thickTop="1" thickBot="1" x14ac:dyDescent="0.25">
      <c r="A74" s="10" t="s">
        <v>8</v>
      </c>
      <c r="B74" s="64">
        <v>5188.3999999999996</v>
      </c>
      <c r="C74" s="59">
        <f>2018479.35/1000</f>
        <v>2018.4793500000001</v>
      </c>
      <c r="D74" s="59">
        <f>1614685.88/1000</f>
        <v>1614.68588</v>
      </c>
      <c r="E74" s="59">
        <f>3104422.07/1000</f>
        <v>3104.4220699999996</v>
      </c>
      <c r="F74" s="59">
        <f>4031217.2/1000</f>
        <v>4031.2172</v>
      </c>
      <c r="G74" s="11"/>
    </row>
    <row r="75" spans="1:7" ht="20.25" customHeight="1" thickTop="1" thickBot="1" x14ac:dyDescent="0.25">
      <c r="A75" s="10" t="s">
        <v>9</v>
      </c>
      <c r="B75" s="64">
        <v>-2749.8</v>
      </c>
      <c r="C75" s="59">
        <f>3276705.53/1000</f>
        <v>3276.7055299999997</v>
      </c>
      <c r="D75" s="59">
        <f>2696880.32/1000</f>
        <v>2696.8803199999998</v>
      </c>
      <c r="E75" s="59">
        <f>2483358.07/1000</f>
        <v>2483.3580699999998</v>
      </c>
      <c r="F75" s="59">
        <f>3403762.35/1000</f>
        <v>3403.76235</v>
      </c>
      <c r="G75" s="11"/>
    </row>
    <row r="76" spans="1:7" ht="20.25" customHeight="1" thickTop="1" thickBot="1" x14ac:dyDescent="0.25">
      <c r="A76" s="10" t="s">
        <v>10</v>
      </c>
      <c r="B76" s="59">
        <f>+B75+B74</f>
        <v>2438.5999999999995</v>
      </c>
      <c r="C76" s="59">
        <f>+C74-C75</f>
        <v>-1258.2261799999997</v>
      </c>
      <c r="D76" s="59">
        <f>+D74-D75</f>
        <v>-1082.1944399999998</v>
      </c>
      <c r="E76" s="59">
        <f>+E74-E75</f>
        <v>621.06399999999985</v>
      </c>
      <c r="F76" s="59">
        <f>+F74-F75</f>
        <v>627.45485000000008</v>
      </c>
      <c r="G76" s="11"/>
    </row>
    <row r="77" spans="1:7" ht="20.25" customHeight="1" thickTop="1" thickBot="1" x14ac:dyDescent="0.25">
      <c r="A77" s="10" t="s">
        <v>11</v>
      </c>
      <c r="B77" s="59">
        <f>27.1-1.7</f>
        <v>25.400000000000002</v>
      </c>
      <c r="C77" s="59">
        <f>(17303.65-377426.33)/1000</f>
        <v>-360.12268</v>
      </c>
      <c r="D77" s="59">
        <f>+(15860.98-377540)/1000</f>
        <v>-361.67902000000004</v>
      </c>
      <c r="E77" s="59"/>
      <c r="F77" s="65">
        <f>47626.64/1000</f>
        <v>47.626640000000002</v>
      </c>
      <c r="G77" s="11"/>
    </row>
    <row r="78" spans="1:7" ht="20.25" customHeight="1" thickTop="1" thickBot="1" x14ac:dyDescent="0.25">
      <c r="A78" s="10" t="s">
        <v>12</v>
      </c>
      <c r="B78" s="59">
        <f>+B77+B76</f>
        <v>2463.9999999999995</v>
      </c>
      <c r="C78" s="59">
        <f>+C76+C77</f>
        <v>-1618.3488599999996</v>
      </c>
      <c r="D78" s="59">
        <f>+D76+D77</f>
        <v>-1443.8734599999998</v>
      </c>
      <c r="E78" s="59">
        <f>+E76+E77</f>
        <v>621.06399999999985</v>
      </c>
      <c r="F78" s="59">
        <f>+F76+F77</f>
        <v>675.08149000000003</v>
      </c>
      <c r="G78" s="11"/>
    </row>
    <row r="79" spans="1:7" thickTop="1" x14ac:dyDescent="0.2">
      <c r="A79" s="6"/>
      <c r="B79" s="58"/>
      <c r="C79" s="58"/>
      <c r="D79" s="58"/>
      <c r="E79" s="58"/>
      <c r="F79" s="58"/>
      <c r="G79" s="6"/>
    </row>
    <row r="80" spans="1:7" x14ac:dyDescent="0.2">
      <c r="A80" s="1"/>
      <c r="B80" s="2"/>
      <c r="C80" s="2"/>
      <c r="D80" s="2"/>
      <c r="E80" s="2"/>
      <c r="F80" s="2"/>
      <c r="G80" s="2"/>
    </row>
    <row r="81" spans="1:7" x14ac:dyDescent="0.2">
      <c r="A81" s="1"/>
      <c r="B81" s="2"/>
      <c r="C81" s="2"/>
      <c r="D81" s="2"/>
      <c r="E81" s="2"/>
      <c r="F81" s="2"/>
      <c r="G81" s="2"/>
    </row>
    <row r="82" spans="1:7" ht="15" customHeight="1" x14ac:dyDescent="0.2">
      <c r="A82" s="70" t="s">
        <v>35</v>
      </c>
      <c r="B82" s="70"/>
      <c r="C82" s="70"/>
      <c r="D82" s="70"/>
      <c r="E82" s="70"/>
      <c r="F82" s="70"/>
      <c r="G82" s="70"/>
    </row>
    <row r="83" spans="1:7" ht="15" customHeight="1" x14ac:dyDescent="0.2">
      <c r="A83" s="70"/>
      <c r="B83" s="70"/>
      <c r="C83" s="70"/>
      <c r="D83" s="70"/>
      <c r="E83" s="70"/>
      <c r="F83" s="70"/>
      <c r="G83" s="70"/>
    </row>
    <row r="84" spans="1:7" ht="15" customHeight="1" x14ac:dyDescent="0.2">
      <c r="A84" s="70"/>
      <c r="B84" s="70"/>
      <c r="C84" s="70"/>
      <c r="D84" s="70"/>
      <c r="E84" s="70"/>
      <c r="F84" s="70"/>
      <c r="G84" s="70"/>
    </row>
    <row r="85" spans="1:7" ht="15" customHeight="1" x14ac:dyDescent="0.2">
      <c r="A85" s="70"/>
      <c r="B85" s="70"/>
      <c r="C85" s="70"/>
      <c r="D85" s="70"/>
      <c r="E85" s="70"/>
      <c r="F85" s="70"/>
      <c r="G85" s="70"/>
    </row>
    <row r="86" spans="1:7" x14ac:dyDescent="0.2">
      <c r="A86" s="1"/>
      <c r="B86" s="2"/>
      <c r="C86" s="2"/>
      <c r="D86" s="2"/>
      <c r="E86" s="2"/>
      <c r="F86" s="2"/>
      <c r="G86" s="2"/>
    </row>
    <row r="87" spans="1:7" thickBot="1" x14ac:dyDescent="0.25">
      <c r="A87" s="6"/>
      <c r="B87" s="67" t="s">
        <v>13</v>
      </c>
      <c r="C87" s="67"/>
      <c r="D87" s="67"/>
      <c r="E87" s="67"/>
      <c r="F87" s="67"/>
      <c r="G87" s="6"/>
    </row>
    <row r="88" spans="1:7" thickBot="1" x14ac:dyDescent="0.25">
      <c r="A88" s="22" t="s">
        <v>14</v>
      </c>
      <c r="B88" s="24">
        <v>2016</v>
      </c>
      <c r="C88" s="24">
        <v>2017</v>
      </c>
      <c r="D88" s="9">
        <v>2018</v>
      </c>
      <c r="E88" s="9">
        <v>2019</v>
      </c>
      <c r="F88" s="9">
        <v>2020</v>
      </c>
      <c r="G88" s="24"/>
    </row>
    <row r="89" spans="1:7" ht="20.25" customHeight="1" thickBot="1" x14ac:dyDescent="0.25">
      <c r="A89" s="25" t="s">
        <v>15</v>
      </c>
      <c r="B89" s="39">
        <v>73950.899999999994</v>
      </c>
      <c r="C89" s="39">
        <f>54676037.05/1000</f>
        <v>54676.037049999999</v>
      </c>
      <c r="D89" s="39">
        <f>52964184.7/1000</f>
        <v>52964.184700000005</v>
      </c>
      <c r="E89" s="39">
        <f>52448467.94/1000</f>
        <v>52448.467939999995</v>
      </c>
      <c r="F89" s="39">
        <f>50826676.85/1000</f>
        <v>50826.676850000003</v>
      </c>
      <c r="G89" s="26"/>
    </row>
    <row r="90" spans="1:7" ht="20.25" customHeight="1" thickBot="1" x14ac:dyDescent="0.25">
      <c r="A90" s="25" t="s">
        <v>16</v>
      </c>
      <c r="B90" s="39">
        <v>45980.4</v>
      </c>
      <c r="C90" s="39">
        <f>36569434.81/1000</f>
        <v>36569.434809999999</v>
      </c>
      <c r="D90" s="39">
        <f>34740037.31/1000</f>
        <v>34740.03731</v>
      </c>
      <c r="E90" s="39">
        <f>33098316.23/1000</f>
        <v>33098.316230000004</v>
      </c>
      <c r="F90" s="39">
        <f>32630975.81/1000</f>
        <v>32630.97581</v>
      </c>
      <c r="G90" s="26"/>
    </row>
    <row r="91" spans="1:7" ht="20.25" customHeight="1" thickBot="1" x14ac:dyDescent="0.25">
      <c r="A91" s="25" t="s">
        <v>17</v>
      </c>
      <c r="B91" s="39">
        <v>32.799999999999997</v>
      </c>
      <c r="C91" s="39">
        <f>32531.7/1000</f>
        <v>32.531700000000001</v>
      </c>
      <c r="D91" s="39">
        <f>32437.4/1000</f>
        <v>32.437400000000004</v>
      </c>
      <c r="E91" s="39">
        <f>26139.1/1000</f>
        <v>26.139099999999999</v>
      </c>
      <c r="F91" s="39">
        <f>24610.55/1000</f>
        <v>24.61055</v>
      </c>
      <c r="G91" s="26"/>
    </row>
    <row r="92" spans="1:7" ht="20.25" customHeight="1" thickBot="1" x14ac:dyDescent="0.25">
      <c r="A92" s="25" t="s">
        <v>18</v>
      </c>
      <c r="B92" s="39">
        <v>45693.7</v>
      </c>
      <c r="C92" s="39">
        <f>34588203.57/1000</f>
        <v>34588.203569999998</v>
      </c>
      <c r="D92" s="39">
        <f>29704729.9/1000</f>
        <v>29704.729899999998</v>
      </c>
      <c r="E92" s="39">
        <f>27681379.64/1000</f>
        <v>27681.379639999999</v>
      </c>
      <c r="F92" s="39">
        <f>21891312.29/1000</f>
        <v>21891.312289999998</v>
      </c>
      <c r="G92" s="26"/>
    </row>
    <row r="93" spans="1:7" ht="20.25" customHeight="1" thickBot="1" x14ac:dyDescent="0.25">
      <c r="A93" s="27" t="s">
        <v>19</v>
      </c>
      <c r="B93" s="39">
        <f>SUM(B89:B92)</f>
        <v>165657.79999999999</v>
      </c>
      <c r="C93" s="39">
        <f>SUM(C89:C92)</f>
        <v>125866.20713</v>
      </c>
      <c r="D93" s="39">
        <f>SUM(D89:D92)</f>
        <v>117441.38931</v>
      </c>
      <c r="E93" s="39">
        <f>SUM(E89:E92)</f>
        <v>113254.30291</v>
      </c>
      <c r="F93" s="39">
        <f>SUM(F89:F92)</f>
        <v>105373.57550000001</v>
      </c>
      <c r="G93" s="26"/>
    </row>
    <row r="94" spans="1:7" ht="20.25" customHeight="1" thickBot="1" x14ac:dyDescent="0.25">
      <c r="A94" s="25" t="s">
        <v>20</v>
      </c>
      <c r="B94" s="39">
        <f>-152914.8-2337.3</f>
        <v>-155252.09999999998</v>
      </c>
      <c r="C94" s="39">
        <f>-(113764843.93+2340248.35)/1000</f>
        <v>-116105.09228</v>
      </c>
      <c r="D94" s="39">
        <f>-(106690888.63+2002147.28)/1000</f>
        <v>-108693.03590999999</v>
      </c>
      <c r="E94" s="39">
        <f>-(103352529.97+2158943.43)/1000</f>
        <v>-105511.4734</v>
      </c>
      <c r="F94" s="39">
        <f>(-98094745.04-1062603.66)/1000</f>
        <v>-99157.348700000002</v>
      </c>
      <c r="G94" s="26"/>
    </row>
    <row r="95" spans="1:7" ht="20.25" customHeight="1" thickBot="1" x14ac:dyDescent="0.25">
      <c r="A95" s="28" t="s">
        <v>21</v>
      </c>
      <c r="B95" s="39">
        <f>+B94+B93</f>
        <v>10405.700000000012</v>
      </c>
      <c r="C95" s="39">
        <f>+C94+C93</f>
        <v>9761.1148499999981</v>
      </c>
      <c r="D95" s="39">
        <f>+D94+D93</f>
        <v>8748.3534000000072</v>
      </c>
      <c r="E95" s="39">
        <f>+E94+E93</f>
        <v>7742.8295099999959</v>
      </c>
      <c r="F95" s="39">
        <f>+F94+F93</f>
        <v>6216.226800000004</v>
      </c>
      <c r="G95" s="26"/>
    </row>
    <row r="96" spans="1:7" ht="14.25" x14ac:dyDescent="0.2">
      <c r="A96" s="28"/>
      <c r="B96" s="29"/>
      <c r="C96" s="29"/>
      <c r="D96" s="29"/>
      <c r="E96" s="30"/>
      <c r="F96" s="13"/>
      <c r="G96" s="6"/>
    </row>
    <row r="97" spans="1:7" ht="20.25" x14ac:dyDescent="0.2">
      <c r="A97" s="31"/>
      <c r="B97" s="32"/>
      <c r="C97" s="33"/>
      <c r="D97" s="33"/>
      <c r="E97" s="34"/>
      <c r="F97" s="35"/>
      <c r="G97" s="2"/>
    </row>
    <row r="98" spans="1:7" ht="33.75" customHeight="1" x14ac:dyDescent="0.2">
      <c r="A98" s="31"/>
      <c r="B98" s="33"/>
      <c r="C98" s="33"/>
      <c r="D98" s="33"/>
      <c r="E98" s="34"/>
      <c r="F98" s="35"/>
      <c r="G98" s="2"/>
    </row>
    <row r="99" spans="1:7" ht="33.75" customHeight="1" x14ac:dyDescent="0.2">
      <c r="A99" s="31"/>
      <c r="B99" s="33"/>
      <c r="C99" s="33"/>
      <c r="D99" s="33"/>
      <c r="E99" s="34"/>
      <c r="F99" s="35"/>
      <c r="G99" s="2"/>
    </row>
    <row r="100" spans="1:7" x14ac:dyDescent="0.2">
      <c r="A100" s="1"/>
      <c r="B100" s="2"/>
      <c r="C100" s="2"/>
      <c r="D100" s="2"/>
      <c r="E100" s="2"/>
      <c r="F100" s="2"/>
      <c r="G100" s="2"/>
    </row>
    <row r="101" spans="1:7" ht="15" customHeight="1" x14ac:dyDescent="0.2">
      <c r="A101" s="69" t="s">
        <v>22</v>
      </c>
      <c r="B101" s="69"/>
      <c r="C101" s="69"/>
      <c r="D101" s="69"/>
      <c r="E101" s="69"/>
      <c r="F101" s="69"/>
      <c r="G101" s="69"/>
    </row>
    <row r="102" spans="1:7" ht="15" customHeight="1" x14ac:dyDescent="0.2">
      <c r="A102" s="69"/>
      <c r="B102" s="69"/>
      <c r="C102" s="69"/>
      <c r="D102" s="69"/>
      <c r="E102" s="69"/>
      <c r="F102" s="69"/>
      <c r="G102" s="69"/>
    </row>
    <row r="103" spans="1:7" ht="15" customHeight="1" x14ac:dyDescent="0.2">
      <c r="A103" s="69"/>
      <c r="B103" s="69"/>
      <c r="C103" s="69"/>
      <c r="D103" s="69"/>
      <c r="E103" s="69"/>
      <c r="F103" s="69"/>
      <c r="G103" s="69"/>
    </row>
    <row r="104" spans="1:7" ht="15" customHeight="1" x14ac:dyDescent="0.2">
      <c r="A104" s="69"/>
      <c r="B104" s="69"/>
      <c r="C104" s="69"/>
      <c r="D104" s="69"/>
      <c r="E104" s="69"/>
      <c r="F104" s="69"/>
      <c r="G104" s="69"/>
    </row>
    <row r="105" spans="1:7" ht="15" customHeight="1" x14ac:dyDescent="0.2">
      <c r="A105" s="69"/>
      <c r="B105" s="69"/>
      <c r="C105" s="69"/>
      <c r="D105" s="69"/>
      <c r="E105" s="69"/>
      <c r="F105" s="69"/>
      <c r="G105" s="69"/>
    </row>
    <row r="106" spans="1:7" x14ac:dyDescent="0.2">
      <c r="A106" s="1"/>
      <c r="B106" s="2"/>
      <c r="C106" s="2"/>
      <c r="D106" s="2"/>
      <c r="E106" s="2"/>
      <c r="F106" s="2"/>
      <c r="G106" s="2"/>
    </row>
    <row r="107" spans="1:7" ht="14.25" x14ac:dyDescent="0.2">
      <c r="A107" s="6"/>
      <c r="B107" s="67" t="s">
        <v>13</v>
      </c>
      <c r="C107" s="67"/>
      <c r="D107" s="67"/>
      <c r="E107" s="67"/>
      <c r="F107" s="67"/>
      <c r="G107" s="6"/>
    </row>
    <row r="108" spans="1:7" thickBot="1" x14ac:dyDescent="0.25">
      <c r="A108" s="6"/>
      <c r="B108" s="36"/>
      <c r="C108" s="36"/>
      <c r="D108" s="36"/>
      <c r="E108" s="36"/>
      <c r="F108" s="36"/>
      <c r="G108" s="6"/>
    </row>
    <row r="109" spans="1:7" ht="21" customHeight="1" thickBot="1" x14ac:dyDescent="0.25">
      <c r="A109" s="22" t="s">
        <v>23</v>
      </c>
      <c r="B109" s="37">
        <v>2016</v>
      </c>
      <c r="C109" s="37">
        <v>2017</v>
      </c>
      <c r="D109" s="9">
        <v>2018</v>
      </c>
      <c r="E109" s="9">
        <v>2019</v>
      </c>
      <c r="F109" s="9">
        <v>2020</v>
      </c>
      <c r="G109" s="23"/>
    </row>
    <row r="110" spans="1:7" ht="21" customHeight="1" thickBot="1" x14ac:dyDescent="0.3">
      <c r="A110" s="27" t="s">
        <v>24</v>
      </c>
      <c r="B110" s="61">
        <v>13106.29</v>
      </c>
      <c r="C110" s="61">
        <v>11866.68</v>
      </c>
      <c r="D110" s="61">
        <f>+(263.25+10492312.97)/1000</f>
        <v>10492.576220000001</v>
      </c>
      <c r="E110" s="61">
        <f>11100675.24/1000</f>
        <v>11100.67524</v>
      </c>
      <c r="F110" s="63">
        <f>(11898353.36+263.25)/1000</f>
        <v>11898.616609999999</v>
      </c>
      <c r="G110" s="38"/>
    </row>
    <row r="111" spans="1:7" ht="21" customHeight="1" thickBot="1" x14ac:dyDescent="0.25">
      <c r="A111" s="27" t="s">
        <v>25</v>
      </c>
      <c r="B111" s="62">
        <v>-6002.01</v>
      </c>
      <c r="C111" s="62">
        <v>-5965.59</v>
      </c>
      <c r="D111" s="62">
        <f>-5103450.19/1000</f>
        <v>-5103.4501900000005</v>
      </c>
      <c r="E111" s="62">
        <f>-3805377.93/1000</f>
        <v>-3805.3779300000001</v>
      </c>
      <c r="F111" s="62">
        <f>-3652356.69/1000</f>
        <v>-3652.3566900000001</v>
      </c>
      <c r="G111" s="39"/>
    </row>
    <row r="112" spans="1:7" ht="21" customHeight="1" thickBot="1" x14ac:dyDescent="0.25">
      <c r="A112" s="25" t="s">
        <v>26</v>
      </c>
      <c r="B112" s="61">
        <f>+B110+B111</f>
        <v>7104.2800000000007</v>
      </c>
      <c r="C112" s="61">
        <f>+C110+C111</f>
        <v>5901.09</v>
      </c>
      <c r="D112" s="61">
        <f>+D110+D111</f>
        <v>5389.1260300000004</v>
      </c>
      <c r="E112" s="61">
        <f>+E110+E111</f>
        <v>7295.2973099999999</v>
      </c>
      <c r="F112" s="61">
        <f>+F110+F111</f>
        <v>8246.2599199999986</v>
      </c>
      <c r="G112" s="38"/>
    </row>
    <row r="113" spans="1:7" thickBot="1" x14ac:dyDescent="0.25">
      <c r="A113" s="6"/>
      <c r="B113" s="38"/>
      <c r="C113" s="38"/>
      <c r="D113" s="38"/>
      <c r="E113" s="38"/>
      <c r="F113" s="38"/>
      <c r="G113" s="6"/>
    </row>
    <row r="114" spans="1:7" ht="14.25" x14ac:dyDescent="0.2">
      <c r="A114" s="6"/>
      <c r="B114" s="6"/>
      <c r="C114" s="6"/>
      <c r="D114" s="6"/>
      <c r="E114" s="6"/>
      <c r="F114" s="6"/>
      <c r="G114" s="6"/>
    </row>
    <row r="115" spans="1:7" x14ac:dyDescent="0.2">
      <c r="A115" s="1"/>
      <c r="B115" s="2"/>
      <c r="C115" s="2"/>
      <c r="D115" s="2"/>
      <c r="E115" s="2"/>
      <c r="F115" s="2"/>
      <c r="G115" s="2"/>
    </row>
    <row r="116" spans="1:7" x14ac:dyDescent="0.2">
      <c r="A116" s="1"/>
      <c r="B116" s="2"/>
      <c r="C116" s="2"/>
      <c r="D116" s="2"/>
      <c r="E116" s="2"/>
      <c r="F116" s="2"/>
      <c r="G116" s="2"/>
    </row>
    <row r="117" spans="1:7" x14ac:dyDescent="0.2">
      <c r="A117" s="1"/>
      <c r="B117" s="2"/>
      <c r="C117" s="2"/>
      <c r="D117" s="2"/>
      <c r="E117" s="2"/>
      <c r="F117" s="2"/>
      <c r="G117" s="2"/>
    </row>
    <row r="118" spans="1:7" ht="15" customHeight="1" x14ac:dyDescent="0.2">
      <c r="A118" s="69" t="s">
        <v>27</v>
      </c>
      <c r="B118" s="69"/>
      <c r="C118" s="69"/>
      <c r="D118" s="69"/>
      <c r="E118" s="69"/>
      <c r="F118" s="69"/>
      <c r="G118" s="69"/>
    </row>
    <row r="119" spans="1:7" ht="15" customHeight="1" x14ac:dyDescent="0.2">
      <c r="A119" s="69"/>
      <c r="B119" s="69"/>
      <c r="C119" s="69"/>
      <c r="D119" s="69"/>
      <c r="E119" s="69"/>
      <c r="F119" s="69"/>
      <c r="G119" s="69"/>
    </row>
    <row r="120" spans="1:7" ht="15" customHeight="1" x14ac:dyDescent="0.2">
      <c r="A120" s="69"/>
      <c r="B120" s="69"/>
      <c r="C120" s="69"/>
      <c r="D120" s="69"/>
      <c r="E120" s="69"/>
      <c r="F120" s="69"/>
      <c r="G120" s="69"/>
    </row>
    <row r="121" spans="1:7" ht="15" customHeight="1" x14ac:dyDescent="0.2">
      <c r="A121" s="69"/>
      <c r="B121" s="69"/>
      <c r="C121" s="69"/>
      <c r="D121" s="69"/>
      <c r="E121" s="69"/>
      <c r="F121" s="69"/>
      <c r="G121" s="69"/>
    </row>
    <row r="122" spans="1:7" ht="15" customHeight="1" x14ac:dyDescent="0.2">
      <c r="A122" s="69"/>
      <c r="B122" s="69"/>
      <c r="C122" s="69"/>
      <c r="D122" s="69"/>
      <c r="E122" s="69"/>
      <c r="F122" s="69"/>
      <c r="G122" s="69"/>
    </row>
    <row r="123" spans="1:7" x14ac:dyDescent="0.2">
      <c r="A123" s="1"/>
      <c r="B123" s="2"/>
      <c r="C123" s="2"/>
      <c r="D123" s="2"/>
      <c r="E123" s="2"/>
      <c r="F123" s="2"/>
      <c r="G123" s="2"/>
    </row>
    <row r="124" spans="1:7" ht="14.25" x14ac:dyDescent="0.2">
      <c r="A124" s="6"/>
      <c r="B124" s="67" t="s">
        <v>13</v>
      </c>
      <c r="C124" s="67"/>
      <c r="D124" s="67"/>
      <c r="E124" s="67"/>
      <c r="F124" s="67"/>
      <c r="G124" s="6"/>
    </row>
    <row r="125" spans="1:7" ht="14.25" x14ac:dyDescent="0.2">
      <c r="A125" s="6"/>
      <c r="B125" s="6"/>
      <c r="C125" s="6"/>
      <c r="D125" s="6"/>
      <c r="E125" s="6"/>
      <c r="F125" s="6"/>
      <c r="G125" s="6"/>
    </row>
    <row r="126" spans="1:7" ht="14.25" x14ac:dyDescent="0.2">
      <c r="A126" s="6"/>
      <c r="B126" s="6"/>
      <c r="C126" s="6"/>
      <c r="D126" s="6"/>
      <c r="E126" s="6"/>
      <c r="F126" s="6"/>
      <c r="G126" s="6"/>
    </row>
    <row r="127" spans="1:7" s="42" customFormat="1" ht="14.25" x14ac:dyDescent="0.2">
      <c r="A127" s="40"/>
      <c r="B127" s="40"/>
      <c r="C127" s="40"/>
      <c r="D127" s="40"/>
      <c r="E127" s="40"/>
      <c r="F127" s="40"/>
      <c r="G127" s="41"/>
    </row>
    <row r="128" spans="1:7" s="42" customFormat="1" ht="14.25" x14ac:dyDescent="0.2">
      <c r="A128" s="40"/>
      <c r="B128" s="43">
        <v>2016</v>
      </c>
      <c r="C128" s="43">
        <v>2017</v>
      </c>
      <c r="D128" s="9">
        <v>2018</v>
      </c>
      <c r="E128" s="9">
        <v>2019</v>
      </c>
      <c r="F128" s="9">
        <v>2020</v>
      </c>
      <c r="G128" s="9"/>
    </row>
    <row r="129" spans="1:7" s="42" customFormat="1" ht="14.25" x14ac:dyDescent="0.2">
      <c r="A129" s="40"/>
      <c r="B129" s="40"/>
      <c r="C129" s="40"/>
      <c r="D129" s="6"/>
      <c r="E129" s="6"/>
      <c r="F129" s="40"/>
      <c r="G129" s="9"/>
    </row>
    <row r="130" spans="1:7" s="42" customFormat="1" ht="14.25" x14ac:dyDescent="0.2">
      <c r="A130" s="44" t="s">
        <v>28</v>
      </c>
      <c r="B130" s="40"/>
      <c r="C130" s="40"/>
      <c r="D130" s="6"/>
      <c r="E130" s="6"/>
      <c r="F130" s="40"/>
      <c r="G130" s="45"/>
    </row>
    <row r="131" spans="1:7" s="42" customFormat="1" ht="18" customHeight="1" x14ac:dyDescent="0.2">
      <c r="A131" s="40" t="s">
        <v>29</v>
      </c>
      <c r="B131" s="53">
        <v>1708.56</v>
      </c>
      <c r="C131" s="53">
        <v>2921.1</v>
      </c>
      <c r="D131" s="53">
        <v>2563.8541599999999</v>
      </c>
      <c r="E131" s="54">
        <v>3201.1502099999998</v>
      </c>
      <c r="F131" s="53">
        <v>5709.2795800000004</v>
      </c>
      <c r="G131" s="46"/>
    </row>
    <row r="132" spans="1:7" s="42" customFormat="1" ht="18" customHeight="1" x14ac:dyDescent="0.2">
      <c r="A132" s="40" t="s">
        <v>30</v>
      </c>
      <c r="B132" s="53">
        <v>2622.09</v>
      </c>
      <c r="C132" s="53">
        <v>1338</v>
      </c>
      <c r="D132" s="53">
        <v>906.25189999999998</v>
      </c>
      <c r="E132" s="55">
        <v>2903.8588799999998</v>
      </c>
      <c r="F132" s="53">
        <v>1608.48388</v>
      </c>
      <c r="G132" s="46"/>
    </row>
    <row r="133" spans="1:7" s="42" customFormat="1" ht="18" customHeight="1" x14ac:dyDescent="0.2">
      <c r="A133" s="40" t="s">
        <v>31</v>
      </c>
      <c r="B133" s="56">
        <f>+B132+B131</f>
        <v>4330.6499999999996</v>
      </c>
      <c r="C133" s="56">
        <v>4259.1000000000004</v>
      </c>
      <c r="D133" s="56">
        <v>3470.1060600000001</v>
      </c>
      <c r="E133" s="56">
        <f>+E131+E132</f>
        <v>6105.0090899999996</v>
      </c>
      <c r="F133" s="56">
        <f>+F131+F132</f>
        <v>7317.7634600000001</v>
      </c>
      <c r="G133" s="47"/>
    </row>
    <row r="134" spans="1:7" s="42" customFormat="1" ht="18" customHeight="1" x14ac:dyDescent="0.2">
      <c r="A134" s="40"/>
      <c r="B134" s="57"/>
      <c r="C134" s="57"/>
      <c r="D134" s="58"/>
      <c r="E134" s="59"/>
      <c r="F134" s="57"/>
      <c r="G134" s="46"/>
    </row>
    <row r="135" spans="1:7" s="42" customFormat="1" ht="18" customHeight="1" x14ac:dyDescent="0.2">
      <c r="A135" s="44" t="s">
        <v>32</v>
      </c>
      <c r="B135" s="57"/>
      <c r="C135" s="57"/>
      <c r="D135" s="58"/>
      <c r="E135" s="58"/>
      <c r="F135" s="57"/>
      <c r="G135" s="46"/>
    </row>
    <row r="136" spans="1:7" s="42" customFormat="1" ht="18" customHeight="1" x14ac:dyDescent="0.2">
      <c r="A136" s="40" t="s">
        <v>29</v>
      </c>
      <c r="B136" s="53">
        <v>2068.34</v>
      </c>
      <c r="C136" s="53">
        <v>1911.8</v>
      </c>
      <c r="D136" s="53">
        <f>2719051.68/1000</f>
        <v>2719.05168</v>
      </c>
      <c r="E136" s="59">
        <f>3639950.14/1000</f>
        <v>3639.9501399999999</v>
      </c>
      <c r="F136" s="53">
        <v>6518.9264999999996</v>
      </c>
      <c r="G136" s="46"/>
    </row>
    <row r="137" spans="1:7" ht="18" customHeight="1" x14ac:dyDescent="0.2">
      <c r="A137" s="40" t="s">
        <v>30</v>
      </c>
      <c r="B137" s="53">
        <v>1020.13</v>
      </c>
      <c r="C137" s="53">
        <v>932.1</v>
      </c>
      <c r="D137" s="53">
        <f>+(392008.05+328656)/1000</f>
        <v>720.66405000000009</v>
      </c>
      <c r="E137" s="59">
        <f>1390341.93/1000</f>
        <v>1390.34193</v>
      </c>
      <c r="F137" s="59">
        <v>1772.2150200000001</v>
      </c>
      <c r="G137" s="48"/>
    </row>
    <row r="138" spans="1:7" ht="18" customHeight="1" x14ac:dyDescent="0.2">
      <c r="A138" s="40" t="s">
        <v>33</v>
      </c>
      <c r="B138" s="56">
        <f>+B137+B136</f>
        <v>3088.4700000000003</v>
      </c>
      <c r="C138" s="56">
        <v>2843.9</v>
      </c>
      <c r="D138" s="56">
        <f>+D137+D136</f>
        <v>3439.7157299999999</v>
      </c>
      <c r="E138" s="59">
        <f>+E136+E137</f>
        <v>5030.2920699999995</v>
      </c>
      <c r="F138" s="59">
        <v>8291.1415199999992</v>
      </c>
      <c r="G138" s="47"/>
    </row>
    <row r="139" spans="1:7" ht="18" customHeight="1" x14ac:dyDescent="0.2">
      <c r="A139" s="6"/>
      <c r="B139" s="57"/>
      <c r="C139" s="57"/>
      <c r="D139" s="58"/>
      <c r="E139" s="58"/>
      <c r="F139" s="58"/>
      <c r="G139" s="48"/>
    </row>
    <row r="140" spans="1:7" ht="18" customHeight="1" x14ac:dyDescent="0.2">
      <c r="A140" s="49" t="s">
        <v>34</v>
      </c>
      <c r="B140" s="60">
        <f>+B138/B133</f>
        <v>0.713165460150324</v>
      </c>
      <c r="C140" s="60">
        <f>+C138/C133</f>
        <v>0.66772322791200012</v>
      </c>
      <c r="D140" s="60">
        <f>+D138/D133</f>
        <v>0.9912422475064061</v>
      </c>
      <c r="E140" s="60">
        <f>+E138/E133</f>
        <v>0.82396143819664647</v>
      </c>
      <c r="F140" s="60">
        <f>+F138/F133</f>
        <v>1.1330157862194685</v>
      </c>
      <c r="G140" s="50"/>
    </row>
    <row r="141" spans="1:7" ht="18" customHeight="1" x14ac:dyDescent="0.2">
      <c r="A141" s="40" t="s">
        <v>29</v>
      </c>
      <c r="B141" s="60">
        <f t="shared" ref="B141:F142" si="0">+B136/B131</f>
        <v>1.2105749871236597</v>
      </c>
      <c r="C141" s="60">
        <f t="shared" si="0"/>
        <v>0.65447947690938346</v>
      </c>
      <c r="D141" s="60">
        <f t="shared" si="0"/>
        <v>1.0605328970817904</v>
      </c>
      <c r="E141" s="60">
        <f t="shared" si="0"/>
        <v>1.137075707547007</v>
      </c>
      <c r="F141" s="60">
        <f t="shared" si="0"/>
        <v>1.1418124491286517</v>
      </c>
      <c r="G141" s="50"/>
    </row>
    <row r="142" spans="1:7" ht="18" customHeight="1" x14ac:dyDescent="0.2">
      <c r="A142" s="40" t="s">
        <v>30</v>
      </c>
      <c r="B142" s="60">
        <f t="shared" si="0"/>
        <v>0.38905224458351922</v>
      </c>
      <c r="C142" s="60">
        <f t="shared" si="0"/>
        <v>0.69663677130044843</v>
      </c>
      <c r="D142" s="60">
        <f t="shared" si="0"/>
        <v>0.79521383624133657</v>
      </c>
      <c r="E142" s="60">
        <f t="shared" si="0"/>
        <v>0.47879114910708065</v>
      </c>
      <c r="F142" s="60">
        <f t="shared" si="0"/>
        <v>1.1017922169042813</v>
      </c>
      <c r="G142" s="50"/>
    </row>
    <row r="143" spans="1:7" ht="14.25" x14ac:dyDescent="0.2">
      <c r="A143" s="40"/>
      <c r="B143" s="48"/>
      <c r="C143" s="48"/>
      <c r="D143" s="48"/>
      <c r="E143" s="48"/>
      <c r="F143" s="48"/>
      <c r="G143" s="6"/>
    </row>
    <row r="151" spans="2:7" x14ac:dyDescent="0.2">
      <c r="B151" s="51"/>
      <c r="C151" s="51"/>
      <c r="D151" s="51"/>
      <c r="E151" s="51"/>
      <c r="F151" s="51"/>
      <c r="G151" s="51"/>
    </row>
    <row r="152" spans="2:7" x14ac:dyDescent="0.2">
      <c r="B152" s="51"/>
      <c r="C152" s="51"/>
      <c r="D152" s="51"/>
      <c r="E152" s="51"/>
      <c r="F152" s="51"/>
      <c r="G152" s="51"/>
    </row>
  </sheetData>
  <mergeCells count="12">
    <mergeCell ref="B124:F124"/>
    <mergeCell ref="A2:F4"/>
    <mergeCell ref="A54:G57"/>
    <mergeCell ref="B61:F61"/>
    <mergeCell ref="B63:F63"/>
    <mergeCell ref="B71:F71"/>
    <mergeCell ref="B73:F73"/>
    <mergeCell ref="A82:G85"/>
    <mergeCell ref="B87:F87"/>
    <mergeCell ref="A101:G105"/>
    <mergeCell ref="B107:F107"/>
    <mergeCell ref="A118:G122"/>
  </mergeCells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Resweb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Preza</dc:creator>
  <cp:lastModifiedBy>Roxana Diaz</cp:lastModifiedBy>
  <cp:lastPrinted>2021-02-05T18:26:59Z</cp:lastPrinted>
  <dcterms:created xsi:type="dcterms:W3CDTF">2021-02-01T15:49:31Z</dcterms:created>
  <dcterms:modified xsi:type="dcterms:W3CDTF">2021-02-05T21:23:28Z</dcterms:modified>
</cp:coreProperties>
</file>