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2120" windowHeight="8445" activeTab="2"/>
  </bookViews>
  <sheets>
    <sheet name="Balance-Anexo1" sheetId="1" r:id="rId1"/>
    <sheet name="Balance-Anexo1A" sheetId="5" r:id="rId2"/>
    <sheet name="Resultados-Anexo2A" sheetId="6" r:id="rId3"/>
    <sheet name="Cambios Patrimonio" sheetId="8" r:id="rId4"/>
    <sheet name="Flujo de Efectivo 2011" sheetId="9" r:id="rId5"/>
  </sheets>
  <definedNames>
    <definedName name="_xlnm.Print_Area" localSheetId="0">'Balance-Anexo1'!$B$3:$Q$56</definedName>
    <definedName name="_xlnm.Print_Titles" localSheetId="1">'Balance-Anexo1A'!$1:$4</definedName>
  </definedNames>
  <calcPr calcId="145621" fullCalcOnLoad="1"/>
</workbook>
</file>

<file path=xl/calcChain.xml><?xml version="1.0" encoding="utf-8"?>
<calcChain xmlns="http://schemas.openxmlformats.org/spreadsheetml/2006/main">
  <c r="H20" i="9" l="1"/>
  <c r="J22" i="9"/>
  <c r="H22" i="9"/>
  <c r="J20" i="9"/>
  <c r="J45" i="9"/>
  <c r="J38" i="9"/>
  <c r="H45" i="9"/>
  <c r="H38" i="9"/>
  <c r="D26" i="6"/>
  <c r="F109" i="5"/>
  <c r="F68" i="5"/>
  <c r="I35" i="8"/>
  <c r="I34" i="8"/>
  <c r="D28" i="6"/>
  <c r="J35" i="8"/>
  <c r="G35" i="8"/>
  <c r="H35" i="8"/>
  <c r="K35" i="8"/>
  <c r="I32" i="8"/>
  <c r="J32" i="8"/>
  <c r="J29" i="8"/>
  <c r="I30" i="8"/>
  <c r="I29" i="8"/>
  <c r="E26" i="8"/>
  <c r="H27" i="8"/>
  <c r="H26" i="8"/>
  <c r="K26" i="8"/>
  <c r="J26" i="8"/>
  <c r="I26" i="8"/>
  <c r="G26" i="8"/>
  <c r="F26" i="8"/>
  <c r="E22" i="8"/>
  <c r="J22" i="8"/>
  <c r="I22" i="8"/>
  <c r="G22" i="8"/>
  <c r="F22" i="8"/>
  <c r="H25" i="8"/>
  <c r="K25" i="8"/>
  <c r="J14" i="8"/>
  <c r="J13" i="8"/>
  <c r="J12" i="8"/>
  <c r="I11" i="8"/>
  <c r="M20" i="5"/>
  <c r="J100" i="5"/>
  <c r="N38" i="1"/>
  <c r="D10" i="6"/>
  <c r="F93" i="5"/>
  <c r="F77" i="5"/>
  <c r="I99" i="5"/>
  <c r="J99" i="5"/>
  <c r="G109" i="5"/>
  <c r="L39" i="1"/>
  <c r="G108" i="5"/>
  <c r="G107" i="5"/>
  <c r="G99" i="5"/>
  <c r="G94" i="5"/>
  <c r="G93" i="5"/>
  <c r="G77" i="5"/>
  <c r="G71" i="5"/>
  <c r="G50" i="5"/>
  <c r="L19" i="1"/>
  <c r="G47" i="5"/>
  <c r="G42" i="5"/>
  <c r="H42" i="5"/>
  <c r="G37" i="5"/>
  <c r="G33" i="5"/>
  <c r="G28" i="5"/>
  <c r="G18" i="5"/>
  <c r="G13" i="5"/>
  <c r="E32" i="6"/>
  <c r="E29" i="6"/>
  <c r="E28" i="6"/>
  <c r="E26" i="6"/>
  <c r="E15" i="6"/>
  <c r="F15" i="6"/>
  <c r="E13" i="6"/>
  <c r="E10" i="6"/>
  <c r="L38" i="1"/>
  <c r="I39" i="1"/>
  <c r="I38" i="1"/>
  <c r="D32" i="6"/>
  <c r="F32" i="6"/>
  <c r="G44" i="5"/>
  <c r="G23" i="5"/>
  <c r="G102" i="5"/>
  <c r="L37" i="1"/>
  <c r="G83" i="5"/>
  <c r="G65" i="5"/>
  <c r="G57" i="5"/>
  <c r="L18" i="1"/>
  <c r="G7" i="5"/>
  <c r="L15" i="1"/>
  <c r="E25" i="6"/>
  <c r="L20" i="1"/>
  <c r="H108" i="5"/>
  <c r="H84" i="5"/>
  <c r="H85" i="5"/>
  <c r="H86" i="5"/>
  <c r="H87" i="5"/>
  <c r="H88" i="5"/>
  <c r="H89" i="5"/>
  <c r="H90" i="5"/>
  <c r="H91" i="5"/>
  <c r="H92" i="5"/>
  <c r="H95" i="5"/>
  <c r="H96" i="5"/>
  <c r="H97" i="5"/>
  <c r="H94" i="5"/>
  <c r="F99" i="5"/>
  <c r="H99" i="5"/>
  <c r="H103" i="5"/>
  <c r="H104" i="5"/>
  <c r="H105" i="5"/>
  <c r="H102" i="5"/>
  <c r="F102" i="5"/>
  <c r="H100" i="5"/>
  <c r="F94" i="5"/>
  <c r="F71" i="5"/>
  <c r="G25" i="6"/>
  <c r="G32" i="6"/>
  <c r="G36" i="6"/>
  <c r="G9" i="6"/>
  <c r="G15" i="6"/>
  <c r="G21" i="6"/>
  <c r="G39" i="6"/>
  <c r="F36" i="8"/>
  <c r="H36" i="8"/>
  <c r="K36" i="8"/>
  <c r="F35" i="8"/>
  <c r="H23" i="8"/>
  <c r="K23" i="8"/>
  <c r="H24" i="8"/>
  <c r="K24" i="8"/>
  <c r="I83" i="5"/>
  <c r="I94" i="5"/>
  <c r="I82" i="5"/>
  <c r="N36" i="1"/>
  <c r="I102" i="5"/>
  <c r="I109" i="5"/>
  <c r="I71" i="5"/>
  <c r="I68" i="5"/>
  <c r="I65" i="5"/>
  <c r="N29" i="1"/>
  <c r="I77" i="5"/>
  <c r="I75" i="5"/>
  <c r="I7" i="5"/>
  <c r="I18" i="5"/>
  <c r="I13" i="5"/>
  <c r="N16" i="1"/>
  <c r="I41" i="5"/>
  <c r="I38" i="5"/>
  <c r="J38" i="5"/>
  <c r="I33" i="5"/>
  <c r="I28" i="5"/>
  <c r="I23" i="5"/>
  <c r="I47" i="5"/>
  <c r="I44" i="5"/>
  <c r="N18" i="1"/>
  <c r="I50" i="5"/>
  <c r="N19" i="1"/>
  <c r="I57" i="5"/>
  <c r="L28" i="1"/>
  <c r="J26" i="5"/>
  <c r="J31" i="5"/>
  <c r="J108" i="5"/>
  <c r="J105" i="5"/>
  <c r="J104" i="5"/>
  <c r="J103" i="5"/>
  <c r="J102" i="5"/>
  <c r="J84" i="5"/>
  <c r="J85" i="5"/>
  <c r="J86" i="5"/>
  <c r="J87" i="5"/>
  <c r="J88" i="5"/>
  <c r="J89" i="5"/>
  <c r="J90" i="5"/>
  <c r="J91" i="5"/>
  <c r="J92" i="5"/>
  <c r="J95" i="5"/>
  <c r="J96" i="5"/>
  <c r="J97" i="5"/>
  <c r="J94" i="5"/>
  <c r="J66" i="5"/>
  <c r="J67" i="5"/>
  <c r="J69" i="5"/>
  <c r="J72" i="5"/>
  <c r="J73" i="5"/>
  <c r="J71" i="5"/>
  <c r="J76" i="5"/>
  <c r="J78" i="5"/>
  <c r="J29" i="5"/>
  <c r="J30" i="5"/>
  <c r="J32" i="5"/>
  <c r="J24" i="5"/>
  <c r="J25" i="5"/>
  <c r="J23" i="5"/>
  <c r="J27" i="5"/>
  <c r="J39" i="5"/>
  <c r="J40" i="5"/>
  <c r="J41" i="5"/>
  <c r="J34" i="5"/>
  <c r="J35" i="5"/>
  <c r="J36" i="5"/>
  <c r="J42" i="5"/>
  <c r="J48" i="5"/>
  <c r="J45" i="5"/>
  <c r="J46" i="5"/>
  <c r="J47" i="5"/>
  <c r="J44" i="5"/>
  <c r="J53" i="5"/>
  <c r="J51" i="5"/>
  <c r="J52" i="5"/>
  <c r="J54" i="5"/>
  <c r="J8" i="5"/>
  <c r="J9" i="5"/>
  <c r="J10" i="5"/>
  <c r="J11" i="5"/>
  <c r="J14" i="5"/>
  <c r="J15" i="5"/>
  <c r="J16" i="5"/>
  <c r="J17" i="5"/>
  <c r="J19" i="5"/>
  <c r="J58" i="5"/>
  <c r="J59" i="5"/>
  <c r="J57" i="5"/>
  <c r="H32" i="8"/>
  <c r="H30" i="8"/>
  <c r="H31" i="8"/>
  <c r="K31" i="8"/>
  <c r="G29" i="8"/>
  <c r="F29" i="8"/>
  <c r="E29" i="8"/>
  <c r="E10" i="8"/>
  <c r="E9" i="8"/>
  <c r="E34" i="8"/>
  <c r="N28" i="1"/>
  <c r="N30" i="1"/>
  <c r="N37" i="1"/>
  <c r="N20" i="1"/>
  <c r="F10" i="8"/>
  <c r="H11" i="8"/>
  <c r="K11" i="8"/>
  <c r="H12" i="8"/>
  <c r="K12" i="8"/>
  <c r="H13" i="8"/>
  <c r="K13" i="8"/>
  <c r="H14" i="8"/>
  <c r="K14" i="8"/>
  <c r="H15" i="8"/>
  <c r="K15" i="8"/>
  <c r="H16" i="8"/>
  <c r="K16" i="8"/>
  <c r="H17" i="8"/>
  <c r="K17" i="8"/>
  <c r="H18" i="8"/>
  <c r="K18" i="8"/>
  <c r="H19" i="8"/>
  <c r="K19" i="8"/>
  <c r="H20" i="8"/>
  <c r="K20" i="8"/>
  <c r="H21" i="8"/>
  <c r="K21" i="8"/>
  <c r="J10" i="8"/>
  <c r="J34" i="8"/>
  <c r="I10" i="8"/>
  <c r="I9" i="8"/>
  <c r="I37" i="8"/>
  <c r="G10" i="8"/>
  <c r="G9" i="8"/>
  <c r="G34" i="8"/>
  <c r="F23" i="5"/>
  <c r="F28" i="5"/>
  <c r="F37" i="5"/>
  <c r="F33" i="5"/>
  <c r="F22" i="5"/>
  <c r="F7" i="5"/>
  <c r="I15" i="1"/>
  <c r="I22" i="1"/>
  <c r="F18" i="5"/>
  <c r="F13" i="5"/>
  <c r="F60" i="5"/>
  <c r="F47" i="5"/>
  <c r="F44" i="5"/>
  <c r="I18" i="1"/>
  <c r="F50" i="5"/>
  <c r="I19" i="1"/>
  <c r="F57" i="5"/>
  <c r="I20" i="1"/>
  <c r="H40" i="5"/>
  <c r="H26" i="5"/>
  <c r="H31" i="5"/>
  <c r="D9" i="6"/>
  <c r="D15" i="6"/>
  <c r="D21" i="6"/>
  <c r="H19" i="5"/>
  <c r="H10" i="6"/>
  <c r="H11" i="6"/>
  <c r="H12" i="6"/>
  <c r="H13" i="6"/>
  <c r="H16" i="6"/>
  <c r="H17" i="6"/>
  <c r="H18" i="6"/>
  <c r="H15" i="6"/>
  <c r="H26" i="6"/>
  <c r="H27" i="6"/>
  <c r="H29" i="6"/>
  <c r="H33" i="6"/>
  <c r="H32" i="6"/>
  <c r="F33" i="6"/>
  <c r="F29" i="6"/>
  <c r="F27" i="6"/>
  <c r="F18" i="6"/>
  <c r="F17" i="6"/>
  <c r="F16" i="6"/>
  <c r="F13" i="6"/>
  <c r="F12" i="6"/>
  <c r="F11" i="6"/>
  <c r="I37" i="1"/>
  <c r="I28" i="1"/>
  <c r="I16" i="1"/>
  <c r="J55" i="5"/>
  <c r="H76" i="5"/>
  <c r="H78" i="5"/>
  <c r="H72" i="5"/>
  <c r="H73" i="5"/>
  <c r="H71" i="5"/>
  <c r="H69" i="5"/>
  <c r="H67" i="5"/>
  <c r="H66" i="5"/>
  <c r="H51" i="5"/>
  <c r="H50" i="5"/>
  <c r="H52" i="5"/>
  <c r="H53" i="5"/>
  <c r="H54" i="5"/>
  <c r="H55" i="5"/>
  <c r="H8" i="5"/>
  <c r="H9" i="5"/>
  <c r="H7" i="5"/>
  <c r="H10" i="5"/>
  <c r="H11" i="5"/>
  <c r="H14" i="5"/>
  <c r="H15" i="5"/>
  <c r="H16" i="5"/>
  <c r="H17" i="5"/>
  <c r="H38" i="5"/>
  <c r="H39" i="5"/>
  <c r="H41" i="5"/>
  <c r="H34" i="5"/>
  <c r="H35" i="5"/>
  <c r="H33" i="5"/>
  <c r="H36" i="5"/>
  <c r="H29" i="5"/>
  <c r="H30" i="5"/>
  <c r="H28" i="5"/>
  <c r="H32" i="5"/>
  <c r="H24" i="5"/>
  <c r="H25" i="5"/>
  <c r="H27" i="5"/>
  <c r="H47" i="5"/>
  <c r="H48" i="5"/>
  <c r="H44" i="5"/>
  <c r="H59" i="5"/>
  <c r="H58" i="5"/>
  <c r="H46" i="5"/>
  <c r="H45" i="5"/>
  <c r="I37" i="5"/>
  <c r="J37" i="5"/>
  <c r="F75" i="5"/>
  <c r="I30" i="1"/>
  <c r="J77" i="5"/>
  <c r="J28" i="5"/>
  <c r="F107" i="5"/>
  <c r="E36" i="6"/>
  <c r="H37" i="5"/>
  <c r="F21" i="5"/>
  <c r="H109" i="5"/>
  <c r="H107" i="5"/>
  <c r="H9" i="6"/>
  <c r="H21" i="6"/>
  <c r="J50" i="5"/>
  <c r="H23" i="5"/>
  <c r="D25" i="6"/>
  <c r="F25" i="6"/>
  <c r="F36" i="6"/>
  <c r="F28" i="6"/>
  <c r="L16" i="1"/>
  <c r="J75" i="5"/>
  <c r="H57" i="5"/>
  <c r="H22" i="5"/>
  <c r="H21" i="5"/>
  <c r="I17" i="1"/>
  <c r="E37" i="8"/>
  <c r="K30" i="8"/>
  <c r="F9" i="8"/>
  <c r="J9" i="8"/>
  <c r="J37" i="8"/>
  <c r="F34" i="8"/>
  <c r="G37" i="8"/>
  <c r="H29" i="8"/>
  <c r="K10" i="8"/>
  <c r="F37" i="8"/>
  <c r="D36" i="6"/>
  <c r="D39" i="6"/>
  <c r="J32" i="9"/>
  <c r="J47" i="9"/>
  <c r="J49" i="9"/>
  <c r="H48" i="9"/>
  <c r="H32" i="9"/>
  <c r="H47" i="9"/>
  <c r="H49" i="9"/>
  <c r="K34" i="8"/>
  <c r="H18" i="5"/>
  <c r="H13" i="5"/>
  <c r="H60" i="5"/>
  <c r="N15" i="1"/>
  <c r="N39" i="1"/>
  <c r="N41" i="1"/>
  <c r="I107" i="5"/>
  <c r="I110" i="5"/>
  <c r="E9" i="6"/>
  <c r="F10" i="6"/>
  <c r="G75" i="5"/>
  <c r="L30" i="1"/>
  <c r="H77" i="5"/>
  <c r="H75" i="5"/>
  <c r="H34" i="8"/>
  <c r="H22" i="8"/>
  <c r="K22" i="8"/>
  <c r="K9" i="8"/>
  <c r="K37" i="8"/>
  <c r="K32" i="8"/>
  <c r="K29" i="8"/>
  <c r="K27" i="8"/>
  <c r="H10" i="8"/>
  <c r="H28" i="6"/>
  <c r="H25" i="6"/>
  <c r="H36" i="6"/>
  <c r="H39" i="6"/>
  <c r="J109" i="5"/>
  <c r="J107" i="5"/>
  <c r="I22" i="5"/>
  <c r="I21" i="5"/>
  <c r="N17" i="1"/>
  <c r="N32" i="1"/>
  <c r="J18" i="5"/>
  <c r="J13" i="5"/>
  <c r="J7" i="5"/>
  <c r="J33" i="5"/>
  <c r="J22" i="5"/>
  <c r="J21" i="5"/>
  <c r="L29" i="1"/>
  <c r="I79" i="5"/>
  <c r="G82" i="5"/>
  <c r="G22" i="5"/>
  <c r="G21" i="5"/>
  <c r="F83" i="5"/>
  <c r="F82" i="5"/>
  <c r="H93" i="5"/>
  <c r="H83" i="5"/>
  <c r="H82" i="5"/>
  <c r="H110" i="5"/>
  <c r="J93" i="5"/>
  <c r="J83" i="5"/>
  <c r="J82" i="5"/>
  <c r="J110" i="5"/>
  <c r="F65" i="5"/>
  <c r="J68" i="5"/>
  <c r="J65" i="5"/>
  <c r="J79" i="5"/>
  <c r="H68" i="5"/>
  <c r="F26" i="6"/>
  <c r="J112" i="5"/>
  <c r="F110" i="5"/>
  <c r="I36" i="1"/>
  <c r="I41" i="1"/>
  <c r="L36" i="1"/>
  <c r="L41" i="1"/>
  <c r="G110" i="5"/>
  <c r="G112" i="5"/>
  <c r="G79" i="5"/>
  <c r="N22" i="1"/>
  <c r="F79" i="5"/>
  <c r="I29" i="1"/>
  <c r="I32" i="1"/>
  <c r="I44" i="1"/>
  <c r="H65" i="5"/>
  <c r="H79" i="5"/>
  <c r="H112" i="5"/>
  <c r="L17" i="1"/>
  <c r="L22" i="1"/>
  <c r="G60" i="5"/>
  <c r="L32" i="1"/>
  <c r="L44" i="1"/>
  <c r="J60" i="5"/>
  <c r="N44" i="1"/>
  <c r="H9" i="8"/>
  <c r="H37" i="8"/>
  <c r="E21" i="6"/>
  <c r="E39" i="6"/>
  <c r="F39" i="6"/>
  <c r="F9" i="6"/>
  <c r="F21" i="6"/>
  <c r="I112" i="5"/>
  <c r="I60" i="5"/>
  <c r="F112" i="5"/>
</calcChain>
</file>

<file path=xl/sharedStrings.xml><?xml version="1.0" encoding="utf-8"?>
<sst xmlns="http://schemas.openxmlformats.org/spreadsheetml/2006/main" count="273" uniqueCount="224">
  <si>
    <t>US$</t>
  </si>
  <si>
    <t>Pasivo:</t>
  </si>
  <si>
    <t>Patrimonio:</t>
  </si>
  <si>
    <t>Cuentas por pagar</t>
  </si>
  <si>
    <t>Fondo de Saneamiento y Fortalecimiento Financiero (FOSAFFI)</t>
  </si>
  <si>
    <t>Activo</t>
  </si>
  <si>
    <t>(Expresados en Dólares de los Estados Unidos de América)</t>
  </si>
  <si>
    <t>Ingresos Financieros</t>
  </si>
  <si>
    <t>Gastos Financieros</t>
  </si>
  <si>
    <t>Inversiones Financieras</t>
  </si>
  <si>
    <t>Efectivo y Equivalentes</t>
  </si>
  <si>
    <t>Cartera de Préstamos - netos</t>
  </si>
  <si>
    <t xml:space="preserve">Activos extraordinarios - neto </t>
  </si>
  <si>
    <t>Otros Activos</t>
  </si>
  <si>
    <t>Propiedad, Planta y Equipo - neto</t>
  </si>
  <si>
    <t>Otros pasivos</t>
  </si>
  <si>
    <t>Recursos del fondo</t>
  </si>
  <si>
    <t>Superávit o Déficit</t>
  </si>
  <si>
    <t>Presidente                                     Gerente General                          Jefe Sección Contabilidad y Finanzas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</si>
  <si>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</si>
  <si>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</si>
  <si>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</si>
  <si>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</si>
  <si>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</si>
  <si>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</si>
  <si>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</si>
  <si>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</si>
  <si>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</si>
  <si>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</si>
  <si>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</si>
  <si>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</si>
  <si>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</si>
  <si>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</si>
  <si>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</si>
  <si>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</si>
  <si>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</si>
  <si>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</si>
  <si>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</si>
  <si>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</si>
  <si>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</si>
  <si>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</si>
  <si>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</si>
  <si>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</si>
  <si>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</si>
  <si>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</si>
  <si>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</si>
  <si>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</si>
  <si>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</si>
  <si>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</si>
  <si>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</si>
  <si>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</si>
  <si>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</si>
  <si>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</si>
  <si>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</si>
  <si>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</si>
  <si>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</si>
  <si>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</si>
  <si>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</si>
  <si>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</si>
  <si>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</si>
  <si>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</si>
  <si>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</si>
  <si>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</si>
  <si>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</si>
  <si>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</si>
  <si>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</si>
  <si>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</si>
  <si>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</si>
  <si>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</si>
  <si>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</si>
  <si>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Cuentas por Pagar por Recup. De Cartera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</si>
  <si>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</si>
  <si>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</si>
  <si>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</si>
  <si>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</si>
  <si>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</si>
  <si>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</si>
  <si>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</si>
  <si>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</si>
  <si>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</si>
  <si>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</si>
  <si>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</si>
  <si>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</si>
  <si>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</si>
  <si>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</si>
  <si>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</si>
  <si>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</si>
  <si>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</si>
  <si>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</si>
  <si>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</si>
  <si>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</si>
  <si>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</si>
  <si>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</si>
  <si>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</si>
  <si>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</si>
  <si>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</si>
  <si>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</si>
  <si>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</si>
  <si>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</si>
  <si>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</si>
  <si>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</si>
  <si>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</si>
  <si>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</si>
  <si>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DE OPERACION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</si>
  <si>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</si>
  <si>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</si>
  <si>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</si>
  <si>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</si>
  <si>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Arrendamientos</t>
  </si>
  <si>
    <t>Ingresos por Administración de Activos</t>
  </si>
  <si>
    <t>Otros Ingresos</t>
  </si>
  <si>
    <t>TOTAL INGRESOS</t>
  </si>
  <si>
    <t>GASTOS</t>
  </si>
  <si>
    <t>GASTOS DE OPERACION</t>
  </si>
  <si>
    <t>Gastos de Funcionamiento</t>
  </si>
  <si>
    <t xml:space="preserve">Gastos de  Activos Extraordinarios </t>
  </si>
  <si>
    <t>Gastos por Constitución de Reservas</t>
  </si>
  <si>
    <t>GASTOS NO DE OPERACION</t>
  </si>
  <si>
    <t>Otros Gastos</t>
  </si>
  <si>
    <t>TOTAL GASTOS</t>
  </si>
  <si>
    <t>RESULTADOS DEL EJERCICIO</t>
  </si>
  <si>
    <t>UTILIDAD ( PERDIDA )</t>
  </si>
  <si>
    <t>El Salvador</t>
  </si>
  <si>
    <t>VARIACION DEL PERIODO</t>
  </si>
  <si>
    <t>Total Cartera de Préstamos</t>
  </si>
  <si>
    <t>Reservas de Saneamiento Constituidas sobre Cartera</t>
  </si>
  <si>
    <t>Balance General</t>
  </si>
  <si>
    <r>
      <t xml:space="preserve">      </t>
    </r>
    <r>
      <rPr>
        <b/>
        <u/>
        <sz val="11"/>
        <color indexed="8"/>
        <rFont val="Trebuchet MS"/>
        <family val="2"/>
      </rPr>
      <t>Pasivo y Patrimonio</t>
    </r>
  </si>
  <si>
    <t>VARIACIÓN DEL PERIODO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</si>
  <si>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</si>
  <si>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</si>
  <si>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</si>
  <si>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</si>
  <si>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</si>
  <si>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</si>
  <si>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</si>
  <si>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</si>
  <si>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</si>
  <si>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DICIEMBRE 2010</t>
  </si>
  <si>
    <t>ESTADO DE CAMBIOS EN EL PATRIMONIO</t>
  </si>
  <si>
    <t>(EN US$ DOLARES)</t>
  </si>
  <si>
    <t>SALDOS AL</t>
  </si>
  <si>
    <t>AUMENTOS</t>
  </si>
  <si>
    <t>DISMINUCIONES</t>
  </si>
  <si>
    <t>31/12/2009</t>
  </si>
  <si>
    <t>31/12/2010</t>
  </si>
  <si>
    <t>Aportaciones Banco Central de Reserva</t>
  </si>
  <si>
    <t>Aporte Acciones</t>
  </si>
  <si>
    <t>Aporte Cartera de Préstamos</t>
  </si>
  <si>
    <t>Aporte Cartera EX CREDISA</t>
  </si>
  <si>
    <t>Aporte Activos Extraordinarios</t>
  </si>
  <si>
    <t>Aporte Presupuesto de Operación</t>
  </si>
  <si>
    <t>Aporte COPAL</t>
  </si>
  <si>
    <t>Aporte Acciones Básicas</t>
  </si>
  <si>
    <t xml:space="preserve">Aporte Crédito de Estabilización </t>
  </si>
  <si>
    <t>Aporte Equipo de Cómputo</t>
  </si>
  <si>
    <t>Otros Aportes de BCR</t>
  </si>
  <si>
    <t>Aporte Cédulas Hipotecarias</t>
  </si>
  <si>
    <t>Aportaciones Estado</t>
  </si>
  <si>
    <t>Aporte Bonos de Saneamiento</t>
  </si>
  <si>
    <t>Superavit o Déficit por Revaluación de Acciones</t>
  </si>
  <si>
    <t>Superavit o Déficit por Venta de Acciones</t>
  </si>
  <si>
    <t>Utilidad o Pérdida de Ejercicios Anteriores</t>
  </si>
  <si>
    <t>Utilidad o Pérdida del Presente Ejercicio</t>
  </si>
  <si>
    <t xml:space="preserve">             Presidente</t>
  </si>
  <si>
    <t>Gerente General</t>
  </si>
  <si>
    <t>Jefe Sección Contabilidad y Finanzas</t>
  </si>
  <si>
    <t>ESTADO DE FLUJOS DE EFECTIVO</t>
  </si>
  <si>
    <t>(Expresado en US$)</t>
  </si>
  <si>
    <t>Flujos de Efectivo provenientes de las actividades de Operación</t>
  </si>
  <si>
    <t>Conciliación entre la utilidad neta y el efectivo neto provenientes de las actividades de operación</t>
  </si>
  <si>
    <t>Depreciación y amortización</t>
  </si>
  <si>
    <t>Aumento de reserva de saneamiento de préstamos</t>
  </si>
  <si>
    <t>Aumento de reserva de saneamiento de intereses por cobrar</t>
  </si>
  <si>
    <t>Aumento de reserva de saneamiento de deudores varios</t>
  </si>
  <si>
    <t>Aumento de reserva de saneamiento de Activos Extraordinarios</t>
  </si>
  <si>
    <t xml:space="preserve">                        Sub Total</t>
  </si>
  <si>
    <t>Cambios netos en activos y pasivos</t>
  </si>
  <si>
    <t>Disminución de intereses por cobrar</t>
  </si>
  <si>
    <t>Aumento en préstamos y descuentos</t>
  </si>
  <si>
    <t>Disminución (aumento) de activos extraordinarios</t>
  </si>
  <si>
    <t>Disminuicón (aumento ) de otras cuentas por cobrar</t>
  </si>
  <si>
    <t>Aumento de otros activos</t>
  </si>
  <si>
    <t>Disminución de otros pasivos</t>
  </si>
  <si>
    <t xml:space="preserve">      Efectivo neto provisto por las actividades de operación</t>
  </si>
  <si>
    <t>Flujos de Efectivo provenientes de las actividades de Inversión</t>
  </si>
  <si>
    <t>Adquisición de Mobiliario y Equipo</t>
  </si>
  <si>
    <t>Cobros (Adquisición) de títulos valores</t>
  </si>
  <si>
    <t xml:space="preserve">      Efectivo neto provisto por las actividades de inversión</t>
  </si>
  <si>
    <t>Flujos de Efectivo provenientes de las actividades de Financiamiento</t>
  </si>
  <si>
    <t>Aporte Presupuestario del Banco Central de Reserva</t>
  </si>
  <si>
    <t>Amortización de pagarés del Banco Central de Reserva</t>
  </si>
  <si>
    <t>Amortización de aportes del Banco Central de Reserva</t>
  </si>
  <si>
    <t xml:space="preserve">      Efectivo neto provisto por las actividades de Financiamiento</t>
  </si>
  <si>
    <t>Aumento (disminución) neto en el efectivo</t>
  </si>
  <si>
    <t>Efectivo y equivalentes al inicio del año</t>
  </si>
  <si>
    <t xml:space="preserve">      Efectivo y equivalente al final del año</t>
  </si>
  <si>
    <t>Superavit no realizado por Valuación de Aportes</t>
  </si>
  <si>
    <t>31/12/2011</t>
  </si>
  <si>
    <t>Donaciones</t>
  </si>
  <si>
    <t>Donaciones del Estado</t>
  </si>
  <si>
    <t>(2)</t>
  </si>
  <si>
    <t>Obligaciones Banco Central de Reserva de</t>
  </si>
  <si>
    <t xml:space="preserve">         Presidente                            Gerente General                         Jefe Sección Contabilidad y Finanzas</t>
  </si>
  <si>
    <t>NOVIEMBRE 2011</t>
  </si>
  <si>
    <t>Noviembre 2011</t>
  </si>
  <si>
    <t>Resultados por aplicar Presente Ejercicio</t>
  </si>
  <si>
    <t>Utilidad (Pérdida) Acumulada Ejercicios Anteriores</t>
  </si>
  <si>
    <t>DICIEMBRE 2011</t>
  </si>
  <si>
    <t>RESULTADOS DEL MES DE DICIEMBRE</t>
  </si>
  <si>
    <t>Diciembre 2011</t>
  </si>
  <si>
    <t>MOVIMIENTO DICIEMBRE</t>
  </si>
  <si>
    <t>Al 31 de Diciembre de 2011</t>
  </si>
  <si>
    <t>Diciembre 2010</t>
  </si>
  <si>
    <t xml:space="preserve"> Otros Aportes BCR</t>
  </si>
  <si>
    <t>Por el año terminado el 31 de diciembre de 2011</t>
  </si>
  <si>
    <t>Utilidad o (Pérdida) Neta</t>
  </si>
  <si>
    <t>Aumento en intereses y comisiones por pagar</t>
  </si>
  <si>
    <t>Aumento en cuentas por pagar</t>
  </si>
  <si>
    <t>Donaciones del estado</t>
  </si>
  <si>
    <t>Amortización a intereses del Banco Central de Reserva</t>
  </si>
  <si>
    <t xml:space="preserve">        Presidente                                        Gerente General                                   Jefe Seeción Contabilidad y Finanzas</t>
  </si>
  <si>
    <t xml:space="preserve">       Presidente                                Gerente General                            Jefe Sección Contabilidad y Finanzas</t>
  </si>
  <si>
    <t>Superavit o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</si>
</sst>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84" formatCode="_(* #,##0_);_(* \(#,##0\);_(* &quot;-&quot;??_);_(@_)"/>
    <numFmt numFmtId="185" formatCode="#,##0.0_);\(#,##0.0\)"/>
    <numFmt numFmtId="186" formatCode="_(* #,##0.00_);_(* \(#,##0.00\);_(* &quot;0.00&quot;_);_(@_)"/>
    <numFmt numFmtId="187" formatCode="0_);\(0\)"/>
    <numFmt numFmtId="188" formatCode="0.0%"/>
  </numFmts>
  <fonts count="49" x14ac:knownFonts="1">
    <font>
      <sz val="10"/>
      <name val="Arial"/>
    </font>
    <font>
      <sz val="10"/>
      <name val="Arial"/>
    </font>
    <font>
      <sz val="11"/>
      <name val="Trebuchet MS"/>
      <family val="2"/>
    </font>
    <font>
      <b/>
      <sz val="11"/>
      <name val="Trebuchet MS"/>
      <family val="2"/>
    </font>
    <font>
      <u/>
      <sz val="11"/>
      <name val="Trebuchet MS"/>
      <family val="2"/>
    </font>
    <font>
      <sz val="11"/>
      <color indexed="8"/>
      <name val="Trebuchet MS"/>
      <family val="2"/>
    </font>
    <font>
      <u val="double"/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0"/>
      <name val="Tms Rmn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1"/>
      <color indexed="8"/>
      <name val="Trebuchet MS"/>
      <family val="2"/>
    </font>
    <font>
      <sz val="10"/>
      <name val="Arial"/>
      <family val="2"/>
    </font>
    <font>
      <b/>
      <sz val="10"/>
      <name val="Tms Rmn"/>
    </font>
    <font>
      <b/>
      <sz val="14"/>
      <name val="Tms Rmn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rebuchet MS"/>
      <family val="2"/>
    </font>
    <font>
      <b/>
      <u/>
      <sz val="11"/>
      <name val="Arial"/>
      <family val="2"/>
    </font>
    <font>
      <b/>
      <u val="singleAccounting"/>
      <sz val="10"/>
      <name val="Arial"/>
      <family val="2"/>
    </font>
    <font>
      <b/>
      <u val="singleAccounting"/>
      <sz val="10.5"/>
      <name val="Arial"/>
      <family val="2"/>
    </font>
    <font>
      <u val="singleAccounting"/>
      <sz val="12"/>
      <name val="Trebuchet MS"/>
      <family val="2"/>
    </font>
    <font>
      <sz val="12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4"/>
      <name val="Century Gothic"/>
      <family val="2"/>
    </font>
    <font>
      <sz val="11"/>
      <name val="Arial"/>
      <family val="2"/>
    </font>
    <font>
      <u val="singleAccounting"/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2" fillId="2" borderId="0" xfId="0" applyFont="1" applyFill="1" applyAlignment="1">
      <alignment horizontal="left"/>
    </xf>
    <xf numFmtId="184" fontId="2" fillId="2" borderId="0" xfId="1" applyNumberFormat="1" applyFont="1" applyFill="1" applyAlignment="1">
      <alignment horizontal="left"/>
    </xf>
    <xf numFmtId="184" fontId="2" fillId="2" borderId="0" xfId="1" applyNumberFormat="1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184" fontId="5" fillId="2" borderId="0" xfId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84" fontId="6" fillId="2" borderId="0" xfId="1" applyNumberFormat="1" applyFont="1" applyFill="1" applyAlignment="1">
      <alignment horizontal="left"/>
    </xf>
    <xf numFmtId="0" fontId="2" fillId="2" borderId="0" xfId="0" applyFont="1" applyFill="1" applyBorder="1"/>
    <xf numFmtId="0" fontId="8" fillId="0" borderId="0" xfId="0" applyFont="1" applyFill="1"/>
    <xf numFmtId="0" fontId="10" fillId="0" borderId="0" xfId="0" applyFont="1"/>
    <xf numFmtId="0" fontId="2" fillId="2" borderId="0" xfId="0" applyFont="1" applyFill="1" applyBorder="1" applyAlignment="1">
      <alignment horizontal="center"/>
    </xf>
    <xf numFmtId="184" fontId="2" fillId="2" borderId="0" xfId="0" applyNumberFormat="1" applyFont="1" applyFill="1" applyBorder="1" applyAlignment="1">
      <alignment horizontal="left"/>
    </xf>
    <xf numFmtId="37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184" fontId="2" fillId="2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Fill="1" applyBorder="1" applyAlignment="1"/>
    <xf numFmtId="0" fontId="5" fillId="0" borderId="13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0" fontId="2" fillId="0" borderId="0" xfId="0" applyFont="1" applyFill="1" applyBorder="1"/>
    <xf numFmtId="43" fontId="2" fillId="0" borderId="14" xfId="1" applyFont="1" applyFill="1" applyBorder="1" applyAlignment="1">
      <alignment horizontal="left"/>
    </xf>
    <xf numFmtId="43" fontId="2" fillId="0" borderId="0" xfId="1" applyFont="1" applyFill="1" applyBorder="1" applyAlignment="1"/>
    <xf numFmtId="0" fontId="7" fillId="0" borderId="0" xfId="0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43" fontId="5" fillId="0" borderId="14" xfId="1" applyFont="1" applyFill="1" applyBorder="1" applyAlignment="1"/>
    <xf numFmtId="0" fontId="3" fillId="0" borderId="0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1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39" fontId="19" fillId="0" borderId="0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8" fillId="0" borderId="3" xfId="0" applyFont="1" applyBorder="1"/>
    <xf numFmtId="0" fontId="16" fillId="0" borderId="4" xfId="0" applyFont="1" applyBorder="1"/>
    <xf numFmtId="185" fontId="17" fillId="0" borderId="0" xfId="0" applyNumberFormat="1" applyFont="1" applyBorder="1" applyAlignment="1" applyProtection="1">
      <alignment horizontal="centerContinuous"/>
    </xf>
    <xf numFmtId="0" fontId="16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185" fontId="16" fillId="0" borderId="0" xfId="0" applyNumberFormat="1" applyFont="1" applyBorder="1" applyAlignment="1" applyProtection="1">
      <alignment horizontal="centerContinuous"/>
    </xf>
    <xf numFmtId="185" fontId="9" fillId="0" borderId="18" xfId="0" applyNumberFormat="1" applyFont="1" applyBorder="1" applyAlignment="1" applyProtection="1">
      <alignment horizontal="centerContinuous"/>
    </xf>
    <xf numFmtId="185" fontId="9" fillId="0" borderId="19" xfId="0" applyNumberFormat="1" applyFont="1" applyBorder="1" applyAlignment="1" applyProtection="1">
      <alignment horizontal="centerContinuous"/>
    </xf>
    <xf numFmtId="0" fontId="9" fillId="0" borderId="19" xfId="0" applyFont="1" applyBorder="1" applyAlignment="1">
      <alignment horizontal="centerContinuous"/>
    </xf>
    <xf numFmtId="186" fontId="9" fillId="0" borderId="20" xfId="0" applyNumberFormat="1" applyFont="1" applyBorder="1" applyProtection="1"/>
    <xf numFmtId="186" fontId="9" fillId="0" borderId="21" xfId="0" applyNumberFormat="1" applyFont="1" applyFill="1" applyBorder="1" applyProtection="1"/>
    <xf numFmtId="0" fontId="19" fillId="0" borderId="0" xfId="0" applyFont="1" applyBorder="1"/>
    <xf numFmtId="0" fontId="20" fillId="0" borderId="0" xfId="0" applyFont="1" applyBorder="1"/>
    <xf numFmtId="39" fontId="19" fillId="0" borderId="0" xfId="0" applyNumberFormat="1" applyFont="1" applyBorder="1"/>
    <xf numFmtId="39" fontId="19" fillId="0" borderId="0" xfId="0" applyNumberFormat="1" applyFont="1" applyFill="1" applyBorder="1"/>
    <xf numFmtId="39" fontId="19" fillId="0" borderId="0" xfId="0" applyNumberFormat="1" applyFont="1" applyFill="1" applyBorder="1" applyAlignment="1"/>
    <xf numFmtId="0" fontId="8" fillId="0" borderId="5" xfId="0" applyFont="1" applyBorder="1"/>
    <xf numFmtId="0" fontId="8" fillId="0" borderId="6" xfId="0" applyFont="1" applyBorder="1"/>
    <xf numFmtId="0" fontId="8" fillId="0" borderId="6" xfId="0" applyFont="1" applyFill="1" applyBorder="1"/>
    <xf numFmtId="0" fontId="8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9" xfId="0" applyFont="1" applyBorder="1"/>
    <xf numFmtId="0" fontId="21" fillId="0" borderId="10" xfId="0" applyFont="1" applyBorder="1"/>
    <xf numFmtId="0" fontId="21" fillId="0" borderId="11" xfId="0" applyFont="1" applyBorder="1"/>
    <xf numFmtId="0" fontId="10" fillId="0" borderId="12" xfId="0" applyFont="1" applyBorder="1"/>
    <xf numFmtId="0" fontId="21" fillId="0" borderId="13" xfId="0" applyFont="1" applyBorder="1"/>
    <xf numFmtId="0" fontId="21" fillId="0" borderId="0" xfId="0" applyFont="1" applyBorder="1" applyAlignment="1">
      <alignment horizontal="justify" wrapText="1"/>
    </xf>
    <xf numFmtId="0" fontId="21" fillId="0" borderId="14" xfId="0" applyFont="1" applyBorder="1"/>
    <xf numFmtId="0" fontId="21" fillId="0" borderId="22" xfId="0" applyFont="1" applyBorder="1"/>
    <xf numFmtId="0" fontId="10" fillId="0" borderId="16" xfId="0" applyFont="1" applyBorder="1"/>
    <xf numFmtId="0" fontId="21" fillId="0" borderId="17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186" fontId="9" fillId="0" borderId="8" xfId="0" applyNumberFormat="1" applyFont="1" applyFill="1" applyBorder="1" applyProtection="1"/>
    <xf numFmtId="0" fontId="9" fillId="0" borderId="1" xfId="0" applyFont="1" applyBorder="1"/>
    <xf numFmtId="0" fontId="9" fillId="0" borderId="2" xfId="0" applyFont="1" applyBorder="1"/>
    <xf numFmtId="0" fontId="9" fillId="0" borderId="7" xfId="0" applyFont="1" applyBorder="1"/>
    <xf numFmtId="0" fontId="9" fillId="0" borderId="23" xfId="0" applyFont="1" applyBorder="1" applyAlignment="1">
      <alignment horizontal="center"/>
    </xf>
    <xf numFmtId="185" fontId="9" fillId="0" borderId="5" xfId="0" applyNumberFormat="1" applyFont="1" applyBorder="1" applyAlignment="1" applyProtection="1">
      <alignment horizontal="centerContinuous"/>
    </xf>
    <xf numFmtId="185" fontId="9" fillId="0" borderId="6" xfId="0" applyNumberFormat="1" applyFont="1" applyBorder="1" applyAlignment="1" applyProtection="1">
      <alignment horizontal="centerContinuous"/>
    </xf>
    <xf numFmtId="0" fontId="9" fillId="0" borderId="8" xfId="0" applyFont="1" applyBorder="1" applyAlignment="1">
      <alignment horizontal="centerContinuous"/>
    </xf>
    <xf numFmtId="0" fontId="9" fillId="0" borderId="24" xfId="0" quotePrefix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85" fontId="22" fillId="0" borderId="3" xfId="0" applyNumberFormat="1" applyFont="1" applyBorder="1" applyAlignment="1" applyProtection="1">
      <alignment horizontal="left"/>
    </xf>
    <xf numFmtId="185" fontId="22" fillId="0" borderId="0" xfId="0" applyNumberFormat="1" applyFont="1" applyBorder="1" applyAlignment="1" applyProtection="1">
      <alignment horizontal="left"/>
    </xf>
    <xf numFmtId="0" fontId="9" fillId="0" borderId="0" xfId="0" applyFont="1" applyBorder="1"/>
    <xf numFmtId="186" fontId="23" fillId="0" borderId="25" xfId="0" applyNumberFormat="1" applyFont="1" applyBorder="1" applyProtection="1"/>
    <xf numFmtId="186" fontId="23" fillId="0" borderId="26" xfId="0" applyNumberFormat="1" applyFont="1" applyBorder="1" applyProtection="1"/>
    <xf numFmtId="0" fontId="9" fillId="0" borderId="3" xfId="0" applyFont="1" applyBorder="1"/>
    <xf numFmtId="185" fontId="9" fillId="0" borderId="0" xfId="0" applyNumberFormat="1" applyFont="1" applyBorder="1" applyAlignment="1" applyProtection="1">
      <alignment horizontal="left"/>
    </xf>
    <xf numFmtId="0" fontId="22" fillId="0" borderId="0" xfId="0" applyFont="1" applyBorder="1"/>
    <xf numFmtId="186" fontId="9" fillId="0" borderId="27" xfId="0" applyNumberFormat="1" applyFont="1" applyBorder="1"/>
    <xf numFmtId="186" fontId="9" fillId="0" borderId="28" xfId="0" applyNumberFormat="1" applyFont="1" applyBorder="1"/>
    <xf numFmtId="0" fontId="9" fillId="0" borderId="29" xfId="0" applyFont="1" applyBorder="1"/>
    <xf numFmtId="0" fontId="9" fillId="0" borderId="30" xfId="0" applyFont="1" applyBorder="1"/>
    <xf numFmtId="185" fontId="9" fillId="0" borderId="30" xfId="0" applyNumberFormat="1" applyFont="1" applyBorder="1" applyAlignment="1" applyProtection="1">
      <alignment horizontal="center"/>
    </xf>
    <xf numFmtId="186" fontId="9" fillId="0" borderId="31" xfId="0" applyNumberFormat="1" applyFont="1" applyBorder="1" applyProtection="1"/>
    <xf numFmtId="186" fontId="9" fillId="0" borderId="32" xfId="0" applyNumberFormat="1" applyFont="1" applyBorder="1" applyProtection="1"/>
    <xf numFmtId="186" fontId="9" fillId="0" borderId="33" xfId="0" applyNumberFormat="1" applyFont="1" applyBorder="1" applyProtection="1"/>
    <xf numFmtId="186" fontId="9" fillId="0" borderId="34" xfId="0" applyNumberFormat="1" applyFont="1" applyBorder="1" applyProtection="1"/>
    <xf numFmtId="186" fontId="24" fillId="0" borderId="25" xfId="0" applyNumberFormat="1" applyFont="1" applyBorder="1" applyProtection="1"/>
    <xf numFmtId="186" fontId="24" fillId="0" borderId="26" xfId="0" applyNumberFormat="1" applyFont="1" applyBorder="1" applyProtection="1"/>
    <xf numFmtId="43" fontId="10" fillId="0" borderId="2" xfId="1" applyFont="1" applyBorder="1"/>
    <xf numFmtId="43" fontId="10" fillId="0" borderId="0" xfId="1" applyFont="1" applyBorder="1"/>
    <xf numFmtId="43" fontId="21" fillId="0" borderId="0" xfId="1" applyFont="1" applyBorder="1"/>
    <xf numFmtId="43" fontId="21" fillId="0" borderId="0" xfId="1" applyFont="1" applyBorder="1" applyAlignment="1">
      <alignment horizontal="center"/>
    </xf>
    <xf numFmtId="43" fontId="21" fillId="0" borderId="10" xfId="1" applyFont="1" applyBorder="1"/>
    <xf numFmtId="43" fontId="21" fillId="0" borderId="0" xfId="1" applyFont="1" applyFill="1" applyBorder="1"/>
    <xf numFmtId="4" fontId="21" fillId="0" borderId="0" xfId="0" applyNumberFormat="1" applyFont="1" applyBorder="1"/>
    <xf numFmtId="43" fontId="21" fillId="0" borderId="14" xfId="1" applyFont="1" applyFill="1" applyBorder="1"/>
    <xf numFmtId="4" fontId="21" fillId="0" borderId="14" xfId="0" applyNumberFormat="1" applyFont="1" applyBorder="1"/>
    <xf numFmtId="43" fontId="21" fillId="0" borderId="14" xfId="1" applyFont="1" applyBorder="1"/>
    <xf numFmtId="43" fontId="21" fillId="0" borderId="22" xfId="1" applyFont="1" applyFill="1" applyBorder="1"/>
    <xf numFmtId="4" fontId="21" fillId="0" borderId="22" xfId="0" applyNumberFormat="1" applyFont="1" applyBorder="1"/>
    <xf numFmtId="43" fontId="21" fillId="0" borderId="22" xfId="1" applyFont="1" applyBorder="1"/>
    <xf numFmtId="0" fontId="21" fillId="0" borderId="0" xfId="0" applyFont="1" applyBorder="1" applyAlignment="1">
      <alignment horizontal="left"/>
    </xf>
    <xf numFmtId="43" fontId="10" fillId="0" borderId="0" xfId="1" applyFont="1"/>
    <xf numFmtId="43" fontId="10" fillId="0" borderId="6" xfId="1" applyFont="1" applyBorder="1"/>
    <xf numFmtId="49" fontId="25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9" fillId="0" borderId="0" xfId="0" applyFont="1"/>
    <xf numFmtId="0" fontId="28" fillId="0" borderId="9" xfId="0" applyFont="1" applyFill="1" applyBorder="1"/>
    <xf numFmtId="0" fontId="28" fillId="0" borderId="11" xfId="0" applyFont="1" applyFill="1" applyBorder="1"/>
    <xf numFmtId="49" fontId="32" fillId="0" borderId="35" xfId="0" applyNumberFormat="1" applyFont="1" applyFill="1" applyBorder="1" applyAlignment="1" applyProtection="1">
      <alignment horizontal="centerContinuous" vertical="center"/>
    </xf>
    <xf numFmtId="49" fontId="32" fillId="0" borderId="35" xfId="0" applyNumberFormat="1" applyFont="1" applyFill="1" applyBorder="1" applyAlignment="1" applyProtection="1">
      <alignment horizontal="centerContinuous" wrapText="1"/>
    </xf>
    <xf numFmtId="0" fontId="28" fillId="0" borderId="16" xfId="0" applyFont="1" applyBorder="1"/>
    <xf numFmtId="0" fontId="28" fillId="0" borderId="17" xfId="0" applyFont="1" applyBorder="1"/>
    <xf numFmtId="49" fontId="28" fillId="0" borderId="36" xfId="0" applyNumberFormat="1" applyFont="1" applyBorder="1" applyAlignment="1" applyProtection="1">
      <alignment horizontal="center"/>
    </xf>
    <xf numFmtId="0" fontId="28" fillId="0" borderId="36" xfId="0" applyFont="1" applyBorder="1" applyAlignment="1" applyProtection="1">
      <alignment horizontal="center"/>
    </xf>
    <xf numFmtId="37" fontId="28" fillId="0" borderId="36" xfId="0" applyNumberFormat="1" applyFont="1" applyBorder="1" applyAlignment="1" applyProtection="1">
      <alignment horizontal="center"/>
    </xf>
    <xf numFmtId="0" fontId="31" fillId="0" borderId="37" xfId="0" applyFont="1" applyBorder="1" applyAlignment="1" applyProtection="1">
      <alignment horizontal="left"/>
    </xf>
    <xf numFmtId="0" fontId="28" fillId="0" borderId="38" xfId="0" applyFont="1" applyBorder="1"/>
    <xf numFmtId="0" fontId="28" fillId="0" borderId="39" xfId="0" applyFont="1" applyBorder="1"/>
    <xf numFmtId="0" fontId="28" fillId="0" borderId="40" xfId="0" applyFont="1" applyFill="1" applyBorder="1"/>
    <xf numFmtId="0" fontId="28" fillId="0" borderId="41" xfId="0" applyFont="1" applyBorder="1"/>
    <xf numFmtId="0" fontId="28" fillId="0" borderId="0" xfId="0" applyFont="1"/>
    <xf numFmtId="186" fontId="28" fillId="0" borderId="39" xfId="0" applyNumberFormat="1" applyFont="1" applyBorder="1"/>
    <xf numFmtId="186" fontId="28" fillId="0" borderId="40" xfId="0" applyNumberFormat="1" applyFont="1" applyFill="1" applyBorder="1"/>
    <xf numFmtId="0" fontId="31" fillId="0" borderId="41" xfId="0" applyFont="1" applyBorder="1" applyAlignment="1" applyProtection="1">
      <alignment horizontal="left"/>
    </xf>
    <xf numFmtId="186" fontId="31" fillId="0" borderId="42" xfId="0" applyNumberFormat="1" applyFont="1" applyBorder="1" applyProtection="1"/>
    <xf numFmtId="186" fontId="31" fillId="0" borderId="43" xfId="0" applyNumberFormat="1" applyFont="1" applyFill="1" applyBorder="1" applyProtection="1"/>
    <xf numFmtId="0" fontId="26" fillId="0" borderId="0" xfId="0" applyFont="1" applyAlignment="1" applyProtection="1">
      <alignment horizontal="left"/>
    </xf>
    <xf numFmtId="186" fontId="26" fillId="0" borderId="39" xfId="0" applyNumberFormat="1" applyFont="1" applyBorder="1" applyProtection="1"/>
    <xf numFmtId="186" fontId="26" fillId="0" borderId="40" xfId="0" applyNumberFormat="1" applyFont="1" applyFill="1" applyBorder="1" applyProtection="1"/>
    <xf numFmtId="188" fontId="29" fillId="0" borderId="0" xfId="2" applyNumberFormat="1" applyFont="1"/>
    <xf numFmtId="186" fontId="26" fillId="0" borderId="42" xfId="0" applyNumberFormat="1" applyFont="1" applyBorder="1" applyProtection="1"/>
    <xf numFmtId="186" fontId="26" fillId="0" borderId="43" xfId="0" applyNumberFormat="1" applyFont="1" applyFill="1" applyBorder="1" applyProtection="1"/>
    <xf numFmtId="186" fontId="28" fillId="0" borderId="36" xfId="0" applyNumberFormat="1" applyFont="1" applyBorder="1" applyProtection="1"/>
    <xf numFmtId="186" fontId="28" fillId="0" borderId="43" xfId="0" applyNumberFormat="1" applyFont="1" applyFill="1" applyBorder="1" applyProtection="1"/>
    <xf numFmtId="186" fontId="28" fillId="0" borderId="25" xfId="0" applyNumberFormat="1" applyFont="1" applyBorder="1"/>
    <xf numFmtId="0" fontId="31" fillId="0" borderId="44" xfId="0" applyFont="1" applyBorder="1" applyAlignment="1" applyProtection="1">
      <alignment horizontal="left"/>
    </xf>
    <xf numFmtId="0" fontId="28" fillId="0" borderId="45" xfId="0" applyFont="1" applyBorder="1"/>
    <xf numFmtId="186" fontId="31" fillId="0" borderId="46" xfId="0" applyNumberFormat="1" applyFont="1" applyBorder="1" applyProtection="1"/>
    <xf numFmtId="186" fontId="31" fillId="0" borderId="47" xfId="0" applyNumberFormat="1" applyFont="1" applyFill="1" applyBorder="1" applyProtection="1"/>
    <xf numFmtId="186" fontId="28" fillId="0" borderId="0" xfId="0" applyNumberFormat="1" applyFont="1"/>
    <xf numFmtId="186" fontId="28" fillId="0" borderId="0" xfId="0" applyNumberFormat="1" applyFont="1" applyFill="1"/>
    <xf numFmtId="0" fontId="31" fillId="0" borderId="48" xfId="0" applyFont="1" applyBorder="1" applyAlignment="1" applyProtection="1">
      <alignment horizontal="left"/>
    </xf>
    <xf numFmtId="0" fontId="28" fillId="0" borderId="49" xfId="0" applyFont="1" applyBorder="1"/>
    <xf numFmtId="186" fontId="28" fillId="0" borderId="50" xfId="0" applyNumberFormat="1" applyFont="1" applyBorder="1"/>
    <xf numFmtId="186" fontId="28" fillId="0" borderId="51" xfId="0" applyNumberFormat="1" applyFont="1" applyFill="1" applyBorder="1"/>
    <xf numFmtId="186" fontId="28" fillId="0" borderId="11" xfId="0" applyNumberFormat="1" applyFont="1" applyFill="1" applyBorder="1"/>
    <xf numFmtId="0" fontId="28" fillId="0" borderId="12" xfId="0" applyFont="1" applyBorder="1"/>
    <xf numFmtId="0" fontId="28" fillId="0" borderId="0" xfId="0" applyFont="1" applyBorder="1"/>
    <xf numFmtId="186" fontId="28" fillId="0" borderId="13" xfId="0" applyNumberFormat="1" applyFont="1" applyFill="1" applyBorder="1"/>
    <xf numFmtId="0" fontId="31" fillId="0" borderId="12" xfId="0" applyFont="1" applyBorder="1" applyAlignment="1" applyProtection="1">
      <alignment horizontal="left"/>
    </xf>
    <xf numFmtId="186" fontId="31" fillId="0" borderId="31" xfId="0" applyNumberFormat="1" applyFont="1" applyBorder="1" applyProtection="1"/>
    <xf numFmtId="186" fontId="31" fillId="0" borderId="52" xfId="0" applyNumberFormat="1" applyFont="1" applyFill="1" applyBorder="1" applyProtection="1"/>
    <xf numFmtId="0" fontId="26" fillId="0" borderId="0" xfId="0" applyFont="1" applyBorder="1" applyAlignment="1" applyProtection="1">
      <alignment horizontal="left"/>
    </xf>
    <xf numFmtId="186" fontId="26" fillId="0" borderId="25" xfId="0" applyNumberFormat="1" applyFont="1" applyBorder="1" applyProtection="1"/>
    <xf numFmtId="186" fontId="26" fillId="0" borderId="13" xfId="0" applyNumberFormat="1" applyFont="1" applyFill="1" applyBorder="1" applyProtection="1"/>
    <xf numFmtId="0" fontId="28" fillId="0" borderId="0" xfId="0" applyFont="1" applyBorder="1" applyAlignment="1" applyProtection="1">
      <alignment horizontal="left"/>
    </xf>
    <xf numFmtId="186" fontId="28" fillId="0" borderId="31" xfId="0" applyNumberFormat="1" applyFont="1" applyBorder="1" applyProtection="1"/>
    <xf numFmtId="186" fontId="28" fillId="0" borderId="52" xfId="0" applyNumberFormat="1" applyFont="1" applyFill="1" applyBorder="1" applyProtection="1"/>
    <xf numFmtId="0" fontId="31" fillId="0" borderId="16" xfId="0" applyFont="1" applyBorder="1" applyAlignment="1" applyProtection="1">
      <alignment horizontal="left"/>
    </xf>
    <xf numFmtId="0" fontId="28" fillId="0" borderId="14" xfId="0" applyFont="1" applyBorder="1"/>
    <xf numFmtId="186" fontId="28" fillId="0" borderId="53" xfId="0" applyNumberFormat="1" applyFont="1" applyBorder="1" applyProtection="1"/>
    <xf numFmtId="186" fontId="28" fillId="0" borderId="54" xfId="0" applyNumberFormat="1" applyFont="1" applyFill="1" applyBorder="1" applyProtection="1"/>
    <xf numFmtId="186" fontId="28" fillId="0" borderId="17" xfId="0" applyNumberFormat="1" applyFont="1" applyFill="1" applyBorder="1" applyProtection="1"/>
    <xf numFmtId="0" fontId="31" fillId="0" borderId="55" xfId="0" applyFont="1" applyBorder="1"/>
    <xf numFmtId="0" fontId="28" fillId="0" borderId="56" xfId="0" applyFont="1" applyBorder="1"/>
    <xf numFmtId="186" fontId="28" fillId="0" borderId="57" xfId="0" applyNumberFormat="1" applyFont="1" applyBorder="1"/>
    <xf numFmtId="186" fontId="28" fillId="0" borderId="58" xfId="0" applyNumberFormat="1" applyFont="1" applyFill="1" applyBorder="1"/>
    <xf numFmtId="0" fontId="31" fillId="0" borderId="59" xfId="0" applyFont="1" applyBorder="1" applyAlignment="1" applyProtection="1">
      <alignment horizontal="left"/>
    </xf>
    <xf numFmtId="186" fontId="31" fillId="0" borderId="60" xfId="0" applyNumberFormat="1" applyFont="1" applyBorder="1" applyProtection="1"/>
    <xf numFmtId="186" fontId="31" fillId="0" borderId="61" xfId="0" applyNumberFormat="1" applyFont="1" applyFill="1" applyBorder="1" applyProtection="1"/>
    <xf numFmtId="0" fontId="29" fillId="0" borderId="62" xfId="0" applyFont="1" applyBorder="1"/>
    <xf numFmtId="186" fontId="26" fillId="0" borderId="0" xfId="0" applyNumberFormat="1" applyFont="1"/>
    <xf numFmtId="186" fontId="26" fillId="0" borderId="0" xfId="0" applyNumberFormat="1" applyFont="1" applyFill="1"/>
    <xf numFmtId="0" fontId="26" fillId="0" borderId="0" xfId="0" applyFont="1" applyFill="1"/>
    <xf numFmtId="43" fontId="29" fillId="0" borderId="0" xfId="0" applyNumberFormat="1" applyFont="1"/>
    <xf numFmtId="43" fontId="26" fillId="0" borderId="0" xfId="0" applyNumberFormat="1" applyFont="1"/>
    <xf numFmtId="0" fontId="36" fillId="0" borderId="0" xfId="0" applyFont="1" applyFill="1"/>
    <xf numFmtId="0" fontId="36" fillId="0" borderId="0" xfId="0" applyFont="1"/>
    <xf numFmtId="186" fontId="38" fillId="0" borderId="0" xfId="0" applyNumberFormat="1" applyFont="1" applyFill="1" applyAlignment="1" applyProtection="1">
      <alignment horizontal="center"/>
    </xf>
    <xf numFmtId="186" fontId="40" fillId="0" borderId="63" xfId="0" applyNumberFormat="1" applyFont="1" applyFill="1" applyBorder="1"/>
    <xf numFmtId="186" fontId="40" fillId="0" borderId="22" xfId="0" applyNumberFormat="1" applyFont="1" applyFill="1" applyBorder="1"/>
    <xf numFmtId="186" fontId="40" fillId="0" borderId="64" xfId="0" applyNumberFormat="1" applyFont="1" applyFill="1" applyBorder="1"/>
    <xf numFmtId="49" fontId="38" fillId="0" borderId="65" xfId="0" applyNumberFormat="1" applyFont="1" applyFill="1" applyBorder="1" applyAlignment="1" applyProtection="1">
      <alignment horizontal="center" vertical="center" wrapText="1"/>
    </xf>
    <xf numFmtId="186" fontId="38" fillId="0" borderId="66" xfId="0" applyNumberFormat="1" applyFont="1" applyFill="1" applyBorder="1" applyAlignment="1" applyProtection="1">
      <alignment horizontal="centerContinuous" wrapText="1"/>
    </xf>
    <xf numFmtId="186" fontId="40" fillId="0" borderId="41" xfId="0" applyNumberFormat="1" applyFont="1" applyFill="1" applyBorder="1" applyAlignment="1" applyProtection="1">
      <alignment horizontal="centerContinuous"/>
    </xf>
    <xf numFmtId="186" fontId="40" fillId="0" borderId="0" xfId="0" applyNumberFormat="1" applyFont="1" applyFill="1" applyBorder="1" applyAlignment="1" applyProtection="1">
      <alignment horizontal="centerContinuous"/>
    </xf>
    <xf numFmtId="186" fontId="40" fillId="0" borderId="40" xfId="0" applyNumberFormat="1" applyFont="1" applyFill="1" applyBorder="1" applyAlignment="1">
      <alignment horizontal="centerContinuous"/>
    </xf>
    <xf numFmtId="186" fontId="40" fillId="0" borderId="34" xfId="0" applyNumberFormat="1" applyFont="1" applyFill="1" applyBorder="1" applyAlignment="1" applyProtection="1">
      <alignment horizontal="centerContinuous"/>
    </xf>
    <xf numFmtId="187" fontId="38" fillId="0" borderId="67" xfId="0" applyNumberFormat="1" applyFont="1" applyFill="1" applyBorder="1" applyAlignment="1" applyProtection="1">
      <alignment horizontal="centerContinuous"/>
    </xf>
    <xf numFmtId="186" fontId="40" fillId="0" borderId="31" xfId="0" applyNumberFormat="1" applyFont="1" applyFill="1" applyBorder="1" applyAlignment="1" applyProtection="1">
      <alignment horizontal="centerContinuous"/>
    </xf>
    <xf numFmtId="186" fontId="41" fillId="0" borderId="9" xfId="0" applyNumberFormat="1" applyFont="1" applyFill="1" applyBorder="1" applyAlignment="1" applyProtection="1">
      <alignment horizontal="left"/>
    </xf>
    <xf numFmtId="186" fontId="42" fillId="0" borderId="10" xfId="0" applyNumberFormat="1" applyFont="1" applyFill="1" applyBorder="1" applyAlignment="1" applyProtection="1">
      <alignment horizontal="left"/>
    </xf>
    <xf numFmtId="186" fontId="38" fillId="0" borderId="11" xfId="0" applyNumberFormat="1" applyFont="1" applyFill="1" applyBorder="1"/>
    <xf numFmtId="186" fontId="43" fillId="0" borderId="34" xfId="0" applyNumberFormat="1" applyFont="1" applyFill="1" applyBorder="1" applyProtection="1"/>
    <xf numFmtId="186" fontId="42" fillId="0" borderId="12" xfId="0" applyNumberFormat="1" applyFont="1" applyFill="1" applyBorder="1" applyAlignment="1" applyProtection="1">
      <alignment horizontal="left"/>
    </xf>
    <xf numFmtId="186" fontId="44" fillId="0" borderId="40" xfId="0" applyNumberFormat="1" applyFont="1" applyFill="1" applyBorder="1" applyAlignment="1" applyProtection="1">
      <alignment horizontal="left"/>
    </xf>
    <xf numFmtId="186" fontId="42" fillId="0" borderId="0" xfId="0" applyNumberFormat="1" applyFont="1" applyFill="1" applyBorder="1" applyAlignment="1" applyProtection="1">
      <alignment horizontal="left"/>
    </xf>
    <xf numFmtId="186" fontId="38" fillId="0" borderId="13" xfId="0" applyNumberFormat="1" applyFont="1" applyFill="1" applyBorder="1" applyAlignment="1" applyProtection="1">
      <alignment horizontal="left"/>
    </xf>
    <xf numFmtId="186" fontId="44" fillId="0" borderId="25" xfId="0" applyNumberFormat="1" applyFont="1" applyFill="1" applyBorder="1" applyProtection="1"/>
    <xf numFmtId="186" fontId="44" fillId="0" borderId="40" xfId="0" applyNumberFormat="1" applyFont="1" applyFill="1" applyBorder="1" applyProtection="1"/>
    <xf numFmtId="186" fontId="38" fillId="0" borderId="12" xfId="0" applyNumberFormat="1" applyFont="1" applyFill="1" applyBorder="1"/>
    <xf numFmtId="186" fontId="44" fillId="0" borderId="0" xfId="0" applyNumberFormat="1" applyFont="1" applyFill="1" applyBorder="1"/>
    <xf numFmtId="186" fontId="44" fillId="0" borderId="31" xfId="0" applyNumberFormat="1" applyFont="1" applyFill="1" applyBorder="1" applyProtection="1"/>
    <xf numFmtId="186" fontId="44" fillId="0" borderId="53" xfId="0" applyNumberFormat="1" applyFont="1" applyFill="1" applyBorder="1" applyProtection="1"/>
    <xf numFmtId="186" fontId="44" fillId="0" borderId="43" xfId="0" applyNumberFormat="1" applyFont="1" applyFill="1" applyBorder="1" applyProtection="1"/>
    <xf numFmtId="186" fontId="38" fillId="0" borderId="0" xfId="0" applyNumberFormat="1" applyFont="1" applyFill="1" applyBorder="1"/>
    <xf numFmtId="186" fontId="38" fillId="0" borderId="13" xfId="0" applyNumberFormat="1" applyFont="1" applyFill="1" applyBorder="1"/>
    <xf numFmtId="186" fontId="38" fillId="0" borderId="25" xfId="0" applyNumberFormat="1" applyFont="1" applyFill="1" applyBorder="1"/>
    <xf numFmtId="186" fontId="38" fillId="0" borderId="40" xfId="0" applyNumberFormat="1" applyFont="1" applyFill="1" applyBorder="1"/>
    <xf numFmtId="186" fontId="41" fillId="0" borderId="12" xfId="0" applyNumberFormat="1" applyFont="1" applyFill="1" applyBorder="1" applyAlignment="1" applyProtection="1">
      <alignment horizontal="left"/>
    </xf>
    <xf numFmtId="186" fontId="43" fillId="0" borderId="31" xfId="0" applyNumberFormat="1" applyFont="1" applyFill="1" applyBorder="1" applyProtection="1"/>
    <xf numFmtId="186" fontId="38" fillId="0" borderId="0" xfId="0" applyNumberFormat="1" applyFont="1" applyFill="1" applyBorder="1" applyAlignment="1" applyProtection="1">
      <alignment horizontal="left"/>
    </xf>
    <xf numFmtId="186" fontId="44" fillId="0" borderId="13" xfId="0" applyNumberFormat="1" applyFont="1" applyFill="1" applyBorder="1" applyAlignment="1" applyProtection="1">
      <alignment horizontal="left"/>
    </xf>
    <xf numFmtId="186" fontId="44" fillId="0" borderId="13" xfId="0" applyNumberFormat="1" applyFont="1" applyFill="1" applyBorder="1" applyAlignment="1" applyProtection="1">
      <alignment horizontal="center"/>
    </xf>
    <xf numFmtId="186" fontId="44" fillId="0" borderId="68" xfId="0" applyNumberFormat="1" applyFont="1" applyFill="1" applyBorder="1" applyProtection="1"/>
    <xf numFmtId="186" fontId="45" fillId="0" borderId="0" xfId="0" applyNumberFormat="1" applyFont="1" applyFill="1" applyBorder="1" applyAlignment="1" applyProtection="1">
      <alignment horizontal="left"/>
    </xf>
    <xf numFmtId="186" fontId="45" fillId="0" borderId="13" xfId="0" applyNumberFormat="1" applyFont="1" applyFill="1" applyBorder="1" applyAlignment="1" applyProtection="1">
      <alignment horizontal="left"/>
    </xf>
    <xf numFmtId="186" fontId="44" fillId="0" borderId="31" xfId="1" applyNumberFormat="1" applyFont="1" applyFill="1" applyBorder="1" applyProtection="1"/>
    <xf numFmtId="186" fontId="38" fillId="0" borderId="25" xfId="0" applyNumberFormat="1" applyFont="1" applyFill="1" applyBorder="1" applyProtection="1"/>
    <xf numFmtId="186" fontId="38" fillId="0" borderId="40" xfId="0" applyNumberFormat="1" applyFont="1" applyFill="1" applyBorder="1" applyProtection="1"/>
    <xf numFmtId="186" fontId="43" fillId="0" borderId="25" xfId="0" applyNumberFormat="1" applyFont="1" applyFill="1" applyBorder="1" applyProtection="1"/>
    <xf numFmtId="186" fontId="43" fillId="0" borderId="12" xfId="0" applyNumberFormat="1" applyFont="1" applyFill="1" applyBorder="1"/>
    <xf numFmtId="186" fontId="38" fillId="0" borderId="40" xfId="0" applyNumberFormat="1" applyFont="1" applyFill="1" applyBorder="1" applyAlignment="1">
      <alignment horizontal="left"/>
    </xf>
    <xf numFmtId="0" fontId="36" fillId="0" borderId="0" xfId="0" applyFont="1" applyFill="1" applyBorder="1"/>
    <xf numFmtId="0" fontId="36" fillId="0" borderId="13" xfId="0" applyFont="1" applyFill="1" applyBorder="1"/>
    <xf numFmtId="186" fontId="46" fillId="0" borderId="66" xfId="0" applyNumberFormat="1" applyFont="1" applyFill="1" applyBorder="1" applyProtection="1"/>
    <xf numFmtId="186" fontId="43" fillId="0" borderId="40" xfId="0" applyNumberFormat="1" applyFont="1" applyFill="1" applyBorder="1"/>
    <xf numFmtId="0" fontId="36" fillId="0" borderId="69" xfId="0" applyFont="1" applyFill="1" applyBorder="1"/>
    <xf numFmtId="186" fontId="46" fillId="0" borderId="70" xfId="0" applyNumberFormat="1" applyFont="1" applyFill="1" applyBorder="1" applyProtection="1"/>
    <xf numFmtId="186" fontId="44" fillId="0" borderId="13" xfId="0" applyNumberFormat="1" applyFont="1" applyFill="1" applyBorder="1" applyProtection="1"/>
    <xf numFmtId="186" fontId="44" fillId="0" borderId="39" xfId="0" applyNumberFormat="1" applyFont="1" applyFill="1" applyBorder="1" applyProtection="1"/>
    <xf numFmtId="186" fontId="44" fillId="0" borderId="36" xfId="0" applyNumberFormat="1" applyFont="1" applyFill="1" applyBorder="1" applyProtection="1"/>
    <xf numFmtId="186" fontId="44" fillId="0" borderId="17" xfId="0" applyNumberFormat="1" applyFont="1" applyFill="1" applyBorder="1" applyProtection="1"/>
    <xf numFmtId="186" fontId="44" fillId="0" borderId="35" xfId="0" applyNumberFormat="1" applyFont="1" applyFill="1" applyBorder="1" applyProtection="1"/>
    <xf numFmtId="186" fontId="44" fillId="0" borderId="69" xfId="0" applyNumberFormat="1" applyFont="1" applyFill="1" applyBorder="1" applyProtection="1"/>
    <xf numFmtId="186" fontId="44" fillId="0" borderId="0" xfId="0" applyNumberFormat="1" applyFont="1" applyFill="1" applyBorder="1" applyAlignment="1" applyProtection="1">
      <alignment horizontal="left"/>
    </xf>
    <xf numFmtId="186" fontId="44" fillId="0" borderId="16" xfId="0" applyNumberFormat="1" applyFont="1" applyFill="1" applyBorder="1" applyProtection="1"/>
    <xf numFmtId="186" fontId="44" fillId="0" borderId="71" xfId="0" applyNumberFormat="1" applyFont="1" applyFill="1" applyBorder="1" applyProtection="1"/>
    <xf numFmtId="186" fontId="38" fillId="0" borderId="69" xfId="0" applyNumberFormat="1" applyFont="1" applyFill="1" applyBorder="1" applyAlignment="1" applyProtection="1">
      <alignment horizontal="left"/>
    </xf>
    <xf numFmtId="186" fontId="44" fillId="0" borderId="54" xfId="0" applyNumberFormat="1" applyFont="1" applyFill="1" applyBorder="1" applyProtection="1"/>
    <xf numFmtId="186" fontId="42" fillId="0" borderId="13" xfId="0" applyNumberFormat="1" applyFont="1" applyFill="1" applyBorder="1" applyAlignment="1" applyProtection="1">
      <alignment horizontal="left"/>
    </xf>
    <xf numFmtId="186" fontId="43" fillId="0" borderId="66" xfId="0" applyNumberFormat="1" applyFont="1" applyFill="1" applyBorder="1" applyProtection="1"/>
    <xf numFmtId="186" fontId="44" fillId="0" borderId="43" xfId="1" applyNumberFormat="1" applyFont="1" applyFill="1" applyBorder="1" applyProtection="1"/>
    <xf numFmtId="186" fontId="44" fillId="0" borderId="12" xfId="0" applyNumberFormat="1" applyFont="1" applyFill="1" applyBorder="1"/>
    <xf numFmtId="186" fontId="36" fillId="0" borderId="0" xfId="0" applyNumberFormat="1" applyFont="1"/>
    <xf numFmtId="186" fontId="38" fillId="0" borderId="12" xfId="0" applyNumberFormat="1" applyFont="1" applyFill="1" applyBorder="1" applyProtection="1"/>
    <xf numFmtId="186" fontId="38" fillId="0" borderId="39" xfId="0" applyNumberFormat="1" applyFont="1" applyFill="1" applyBorder="1" applyProtection="1"/>
    <xf numFmtId="186" fontId="44" fillId="0" borderId="13" xfId="0" applyNumberFormat="1" applyFont="1" applyFill="1" applyBorder="1"/>
    <xf numFmtId="186" fontId="42" fillId="0" borderId="16" xfId="0" applyNumberFormat="1" applyFont="1" applyFill="1" applyBorder="1" applyAlignment="1" applyProtection="1">
      <alignment horizontal="left"/>
    </xf>
    <xf numFmtId="186" fontId="44" fillId="0" borderId="17" xfId="0" applyNumberFormat="1" applyFont="1" applyFill="1" applyBorder="1"/>
    <xf numFmtId="186" fontId="45" fillId="0" borderId="14" xfId="0" applyNumberFormat="1" applyFont="1" applyFill="1" applyBorder="1" applyAlignment="1" applyProtection="1">
      <alignment horizontal="left"/>
    </xf>
    <xf numFmtId="186" fontId="38" fillId="0" borderId="63" xfId="0" applyNumberFormat="1" applyFont="1" applyFill="1" applyBorder="1" applyAlignment="1" applyProtection="1">
      <alignment horizontal="centerContinuous"/>
    </xf>
    <xf numFmtId="186" fontId="38" fillId="0" borderId="22" xfId="0" applyNumberFormat="1" applyFont="1" applyFill="1" applyBorder="1" applyAlignment="1" applyProtection="1">
      <alignment horizontal="centerContinuous"/>
    </xf>
    <xf numFmtId="186" fontId="38" fillId="0" borderId="64" xfId="0" applyNumberFormat="1" applyFont="1" applyFill="1" applyBorder="1" applyAlignment="1">
      <alignment horizontal="centerContinuous"/>
    </xf>
    <xf numFmtId="186" fontId="43" fillId="0" borderId="72" xfId="0" applyNumberFormat="1" applyFont="1" applyFill="1" applyBorder="1" applyProtection="1"/>
    <xf numFmtId="186" fontId="43" fillId="0" borderId="73" xfId="0" applyNumberFormat="1" applyFont="1" applyFill="1" applyBorder="1" applyProtection="1"/>
    <xf numFmtId="186" fontId="38" fillId="0" borderId="0" xfId="0" applyNumberFormat="1" applyFont="1" applyFill="1" applyBorder="1" applyAlignment="1" applyProtection="1">
      <alignment horizontal="centerContinuous"/>
    </xf>
    <xf numFmtId="186" fontId="38" fillId="0" borderId="0" xfId="0" applyNumberFormat="1" applyFont="1" applyFill="1" applyBorder="1" applyAlignment="1">
      <alignment horizontal="centerContinuous"/>
    </xf>
    <xf numFmtId="186" fontId="38" fillId="0" borderId="0" xfId="0" applyNumberFormat="1" applyFont="1" applyFill="1" applyBorder="1" applyProtection="1"/>
    <xf numFmtId="186" fontId="38" fillId="0" borderId="9" xfId="0" applyNumberFormat="1" applyFont="1" applyFill="1" applyBorder="1" applyAlignment="1">
      <alignment horizontal="centerContinuous"/>
    </xf>
    <xf numFmtId="186" fontId="38" fillId="0" borderId="10" xfId="0" applyNumberFormat="1" applyFont="1" applyFill="1" applyBorder="1" applyAlignment="1">
      <alignment horizontal="centerContinuous"/>
    </xf>
    <xf numFmtId="186" fontId="38" fillId="0" borderId="11" xfId="0" applyNumberFormat="1" applyFont="1" applyFill="1" applyBorder="1" applyAlignment="1">
      <alignment horizontal="centerContinuous"/>
    </xf>
    <xf numFmtId="186" fontId="38" fillId="0" borderId="16" xfId="0" applyNumberFormat="1" applyFont="1" applyFill="1" applyBorder="1" applyAlignment="1" applyProtection="1">
      <alignment horizontal="centerContinuous"/>
    </xf>
    <xf numFmtId="186" fontId="38" fillId="0" borderId="14" xfId="0" applyNumberFormat="1" applyFont="1" applyFill="1" applyBorder="1" applyAlignment="1" applyProtection="1">
      <alignment horizontal="centerContinuous"/>
    </xf>
    <xf numFmtId="186" fontId="38" fillId="0" borderId="17" xfId="0" applyNumberFormat="1" applyFont="1" applyFill="1" applyBorder="1" applyAlignment="1">
      <alignment horizontal="centerContinuous"/>
    </xf>
    <xf numFmtId="186" fontId="38" fillId="0" borderId="67" xfId="0" applyNumberFormat="1" applyFont="1" applyFill="1" applyBorder="1" applyAlignment="1" applyProtection="1">
      <alignment horizontal="centerContinuous"/>
    </xf>
    <xf numFmtId="186" fontId="38" fillId="0" borderId="68" xfId="0" applyNumberFormat="1" applyFont="1" applyFill="1" applyBorder="1" applyAlignment="1" applyProtection="1">
      <alignment horizontal="center"/>
    </xf>
    <xf numFmtId="186" fontId="41" fillId="0" borderId="41" xfId="0" applyNumberFormat="1" applyFont="1" applyFill="1" applyBorder="1" applyAlignment="1" applyProtection="1">
      <alignment horizontal="left"/>
    </xf>
    <xf numFmtId="186" fontId="38" fillId="0" borderId="0" xfId="0" applyNumberFormat="1" applyFont="1" applyFill="1"/>
    <xf numFmtId="186" fontId="42" fillId="0" borderId="41" xfId="0" applyNumberFormat="1" applyFont="1" applyFill="1" applyBorder="1" applyAlignment="1" applyProtection="1">
      <alignment horizontal="left"/>
    </xf>
    <xf numFmtId="186" fontId="44" fillId="0" borderId="0" xfId="0" applyNumberFormat="1" applyFont="1" applyFill="1" applyAlignment="1" applyProtection="1">
      <alignment horizontal="left"/>
    </xf>
    <xf numFmtId="186" fontId="44" fillId="0" borderId="0" xfId="0" applyNumberFormat="1" applyFont="1" applyFill="1"/>
    <xf numFmtId="186" fontId="44" fillId="0" borderId="12" xfId="0" applyNumberFormat="1" applyFont="1" applyFill="1" applyBorder="1" applyProtection="1"/>
    <xf numFmtId="186" fontId="38" fillId="0" borderId="41" xfId="0" applyNumberFormat="1" applyFont="1" applyFill="1" applyBorder="1" applyAlignment="1" applyProtection="1">
      <alignment horizontal="centerContinuous"/>
    </xf>
    <xf numFmtId="186" fontId="38" fillId="0" borderId="16" xfId="0" applyNumberFormat="1" applyFont="1" applyFill="1" applyBorder="1"/>
    <xf numFmtId="186" fontId="38" fillId="0" borderId="36" xfId="0" applyNumberFormat="1" applyFont="1" applyFill="1" applyBorder="1"/>
    <xf numFmtId="186" fontId="38" fillId="0" borderId="41" xfId="0" applyNumberFormat="1" applyFont="1" applyFill="1" applyBorder="1"/>
    <xf numFmtId="186" fontId="38" fillId="0" borderId="0" xfId="0" applyNumberFormat="1" applyFont="1" applyFill="1" applyAlignment="1" applyProtection="1">
      <alignment horizontal="left"/>
    </xf>
    <xf numFmtId="186" fontId="38" fillId="0" borderId="74" xfId="0" applyNumberFormat="1" applyFont="1" applyFill="1" applyBorder="1"/>
    <xf numFmtId="186" fontId="38" fillId="0" borderId="30" xfId="0" applyNumberFormat="1" applyFont="1" applyFill="1" applyBorder="1"/>
    <xf numFmtId="186" fontId="38" fillId="0" borderId="67" xfId="0" applyNumberFormat="1" applyFont="1" applyFill="1" applyBorder="1" applyAlignment="1" applyProtection="1">
      <alignment horizontal="center"/>
    </xf>
    <xf numFmtId="186" fontId="44" fillId="0" borderId="38" xfId="0" applyNumberFormat="1" applyFont="1" applyFill="1" applyBorder="1"/>
    <xf numFmtId="186" fontId="38" fillId="0" borderId="38" xfId="0" applyNumberFormat="1" applyFont="1" applyFill="1" applyBorder="1"/>
    <xf numFmtId="186" fontId="38" fillId="0" borderId="74" xfId="0" applyNumberFormat="1" applyFont="1" applyFill="1" applyBorder="1" applyAlignment="1" applyProtection="1">
      <alignment horizontal="centerContinuous"/>
    </xf>
    <xf numFmtId="186" fontId="38" fillId="0" borderId="30" xfId="0" applyNumberFormat="1" applyFont="1" applyFill="1" applyBorder="1" applyAlignment="1" applyProtection="1">
      <alignment horizontal="centerContinuous"/>
    </xf>
    <xf numFmtId="186" fontId="38" fillId="0" borderId="67" xfId="0" applyNumberFormat="1" applyFont="1" applyFill="1" applyBorder="1" applyAlignment="1">
      <alignment horizontal="centerContinuous"/>
    </xf>
    <xf numFmtId="186" fontId="44" fillId="0" borderId="34" xfId="0" applyNumberFormat="1" applyFont="1" applyFill="1" applyBorder="1"/>
    <xf numFmtId="186" fontId="38" fillId="0" borderId="34" xfId="0" applyNumberFormat="1" applyFont="1" applyFill="1" applyBorder="1"/>
    <xf numFmtId="186" fontId="43" fillId="0" borderId="75" xfId="0" applyNumberFormat="1" applyFont="1" applyFill="1" applyBorder="1" applyProtection="1"/>
    <xf numFmtId="186" fontId="41" fillId="0" borderId="0" xfId="0" applyNumberFormat="1" applyFont="1" applyFill="1" applyBorder="1" applyAlignment="1" applyProtection="1">
      <alignment horizontal="left"/>
    </xf>
    <xf numFmtId="186" fontId="46" fillId="0" borderId="76" xfId="0" applyNumberFormat="1" applyFont="1" applyFill="1" applyBorder="1" applyProtection="1"/>
    <xf numFmtId="186" fontId="44" fillId="0" borderId="41" xfId="0" applyNumberFormat="1" applyFont="1" applyFill="1" applyBorder="1" applyProtection="1"/>
    <xf numFmtId="186" fontId="44" fillId="0" borderId="76" xfId="0" applyNumberFormat="1" applyFont="1" applyFill="1" applyBorder="1" applyProtection="1"/>
    <xf numFmtId="186" fontId="44" fillId="0" borderId="77" xfId="0" applyNumberFormat="1" applyFont="1" applyFill="1" applyBorder="1" applyProtection="1"/>
    <xf numFmtId="186" fontId="46" fillId="0" borderId="36" xfId="0" applyNumberFormat="1" applyFont="1" applyFill="1" applyBorder="1" applyProtection="1"/>
    <xf numFmtId="186" fontId="44" fillId="0" borderId="66" xfId="0" applyNumberFormat="1" applyFont="1" applyFill="1" applyBorder="1" applyProtection="1"/>
    <xf numFmtId="186" fontId="44" fillId="0" borderId="78" xfId="0" applyNumberFormat="1" applyFont="1" applyFill="1" applyBorder="1" applyProtection="1"/>
    <xf numFmtId="186" fontId="38" fillId="0" borderId="27" xfId="0" applyNumberFormat="1" applyFont="1" applyFill="1" applyBorder="1"/>
    <xf numFmtId="186" fontId="44" fillId="0" borderId="25" xfId="1" applyNumberFormat="1" applyFont="1" applyFill="1" applyBorder="1" applyProtection="1"/>
    <xf numFmtId="186" fontId="44" fillId="0" borderId="40" xfId="1" applyNumberFormat="1" applyFont="1" applyFill="1" applyBorder="1" applyProtection="1"/>
    <xf numFmtId="186" fontId="43" fillId="0" borderId="31" xfId="1" applyNumberFormat="1" applyFont="1" applyFill="1" applyBorder="1" applyProtection="1"/>
    <xf numFmtId="186" fontId="38" fillId="0" borderId="30" xfId="0" applyNumberFormat="1" applyFont="1" applyFill="1" applyBorder="1" applyAlignment="1" applyProtection="1">
      <alignment horizontal="center"/>
    </xf>
    <xf numFmtId="186" fontId="38" fillId="0" borderId="43" xfId="0" applyNumberFormat="1" applyFont="1" applyFill="1" applyBorder="1"/>
    <xf numFmtId="186" fontId="38" fillId="0" borderId="30" xfId="0" applyNumberFormat="1" applyFont="1" applyFill="1" applyBorder="1" applyAlignment="1">
      <alignment horizontal="centerContinuous"/>
    </xf>
    <xf numFmtId="186" fontId="43" fillId="0" borderId="79" xfId="0" applyNumberFormat="1" applyFont="1" applyFill="1" applyBorder="1" applyProtection="1"/>
    <xf numFmtId="186" fontId="40" fillId="0" borderId="0" xfId="0" applyNumberFormat="1" applyFont="1" applyFill="1"/>
    <xf numFmtId="0" fontId="47" fillId="0" borderId="0" xfId="0" applyFont="1" applyFill="1"/>
    <xf numFmtId="39" fontId="47" fillId="0" borderId="0" xfId="0" applyNumberFormat="1" applyFont="1" applyFill="1"/>
    <xf numFmtId="43" fontId="36" fillId="0" borderId="0" xfId="0" applyNumberFormat="1" applyFont="1"/>
    <xf numFmtId="0" fontId="34" fillId="0" borderId="3" xfId="0" applyFont="1" applyBorder="1"/>
    <xf numFmtId="185" fontId="34" fillId="0" borderId="0" xfId="0" applyNumberFormat="1" applyFont="1" applyBorder="1" applyAlignment="1" applyProtection="1">
      <alignment horizontal="left"/>
    </xf>
    <xf numFmtId="0" fontId="15" fillId="0" borderId="0" xfId="0" applyFont="1" applyBorder="1"/>
    <xf numFmtId="186" fontId="15" fillId="0" borderId="25" xfId="0" applyNumberFormat="1" applyFont="1" applyBorder="1" applyProtection="1"/>
    <xf numFmtId="186" fontId="15" fillId="0" borderId="26" xfId="0" applyNumberFormat="1" applyFont="1" applyBorder="1" applyProtection="1"/>
    <xf numFmtId="0" fontId="8" fillId="0" borderId="4" xfId="0" applyFont="1" applyBorder="1"/>
    <xf numFmtId="186" fontId="15" fillId="0" borderId="31" xfId="0" applyNumberFormat="1" applyFont="1" applyBorder="1" applyProtection="1"/>
    <xf numFmtId="186" fontId="15" fillId="0" borderId="32" xfId="0" applyNumberFormat="1" applyFont="1" applyBorder="1" applyProtection="1"/>
    <xf numFmtId="0" fontId="34" fillId="0" borderId="0" xfId="0" applyFont="1" applyBorder="1"/>
    <xf numFmtId="186" fontId="35" fillId="0" borderId="26" xfId="0" applyNumberFormat="1" applyFont="1" applyBorder="1" applyProtection="1"/>
    <xf numFmtId="186" fontId="35" fillId="0" borderId="25" xfId="0" applyNumberFormat="1" applyFont="1" applyBorder="1" applyProtection="1"/>
    <xf numFmtId="0" fontId="2" fillId="0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/>
    </xf>
    <xf numFmtId="186" fontId="38" fillId="0" borderId="0" xfId="0" applyNumberFormat="1" applyFont="1" applyFill="1" applyAlignment="1" applyProtection="1">
      <alignment horizontal="center"/>
    </xf>
    <xf numFmtId="186" fontId="37" fillId="0" borderId="0" xfId="0" applyNumberFormat="1" applyFont="1" applyFill="1" applyAlignment="1" applyProtection="1">
      <alignment horizontal="center"/>
    </xf>
    <xf numFmtId="186" fontId="39" fillId="0" borderId="0" xfId="0" applyNumberFormat="1" applyFont="1" applyFill="1" applyBorder="1" applyAlignment="1" applyProtection="1">
      <alignment horizontal="center"/>
    </xf>
    <xf numFmtId="186" fontId="38" fillId="0" borderId="0" xfId="0" applyNumberFormat="1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31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33" fillId="2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185" fontId="13" fillId="0" borderId="0" xfId="0" applyNumberFormat="1" applyFont="1" applyBorder="1" applyAlignment="1" applyProtection="1">
      <alignment horizontal="center"/>
    </xf>
    <xf numFmtId="185" fontId="12" fillId="0" borderId="0" xfId="0" applyNumberFormat="1" applyFont="1" applyBorder="1" applyAlignment="1" applyProtection="1">
      <alignment horizontal="center"/>
    </xf>
    <xf numFmtId="185" fontId="19" fillId="0" borderId="0" xfId="0" applyNumberFormat="1" applyFont="1" applyBorder="1" applyAlignment="1" applyProtection="1">
      <alignment horizontal="center"/>
    </xf>
    <xf numFmtId="0" fontId="19" fillId="0" borderId="0" xfId="0" applyFont="1" applyBorder="1" applyAlignment="1">
      <alignment horizontal="left"/>
    </xf>
    <xf numFmtId="39" fontId="19" fillId="0" borderId="0" xfId="0" applyNumberFormat="1" applyFont="1" applyBorder="1" applyAlignment="1">
      <alignment horizontal="center"/>
    </xf>
    <xf numFmtId="39" fontId="19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V60"/>
  <sheetViews>
    <sheetView zoomScaleNormal="75" zoomScaleSheetLayoutView="75" workbookViewId="0">
      <selection activeCell="I36" sqref="I36:I39"/>
    </sheetView>
  </sheetViews>
  <sheetFormatPr baseColWidth="10" defaultColWidth="9.140625" defaultRowHeight="16.5" x14ac:dyDescent="0.3"/>
  <cols>
    <col min="1" max="1" width="11.42578125" style="4" customWidth="1"/>
    <col min="2" max="2" width="2.85546875" style="4" customWidth="1"/>
    <col min="3" max="3" width="4.28515625" style="4" customWidth="1"/>
    <col min="4" max="4" width="4.42578125" style="4" customWidth="1"/>
    <col min="5" max="5" width="3.28515625" style="1" customWidth="1"/>
    <col min="6" max="6" width="3.140625" style="1" customWidth="1"/>
    <col min="7" max="7" width="41.7109375" style="1" customWidth="1"/>
    <col min="8" max="8" width="4.5703125" style="1" customWidth="1"/>
    <col min="9" max="9" width="19.85546875" style="1" bestFit="1" customWidth="1"/>
    <col min="10" max="10" width="4.140625" style="6" customWidth="1"/>
    <col min="11" max="11" width="4.7109375" style="1" bestFit="1" customWidth="1"/>
    <col min="12" max="12" width="19.85546875" style="1" hidden="1" customWidth="1"/>
    <col min="13" max="13" width="5.140625" style="1" hidden="1" customWidth="1"/>
    <col min="14" max="14" width="19.85546875" style="1" customWidth="1"/>
    <col min="15" max="15" width="3.140625" style="1" customWidth="1"/>
    <col min="16" max="16" width="5.140625" style="1" customWidth="1"/>
    <col min="17" max="17" width="4" style="1" customWidth="1"/>
    <col min="18" max="18" width="14.140625" style="2" bestFit="1" customWidth="1"/>
    <col min="19" max="19" width="9.28515625" style="2" bestFit="1" customWidth="1"/>
    <col min="20" max="20" width="11.42578125" style="2" bestFit="1" customWidth="1"/>
    <col min="21" max="21" width="9.28515625" style="2" bestFit="1" customWidth="1"/>
    <col min="22" max="22" width="9.28515625" style="3" bestFit="1" customWidth="1"/>
    <col min="23" max="16384" width="9.140625" style="4"/>
  </cols>
  <sheetData>
    <row r="2" spans="3:16" ht="25.5" customHeight="1" x14ac:dyDescent="0.3"/>
    <row r="3" spans="3:16" ht="25.5" customHeight="1" thickBot="1" x14ac:dyDescent="0.35"/>
    <row r="4" spans="3:16" ht="13.5" customHeight="1" x14ac:dyDescent="0.3">
      <c r="C4" s="17"/>
      <c r="D4" s="18"/>
      <c r="E4" s="23"/>
      <c r="F4" s="23"/>
      <c r="G4" s="23"/>
      <c r="H4" s="23"/>
      <c r="I4" s="23"/>
      <c r="J4" s="23"/>
      <c r="K4" s="23"/>
      <c r="L4" s="24"/>
      <c r="M4" s="24"/>
      <c r="N4" s="24"/>
      <c r="O4" s="23"/>
      <c r="P4" s="25"/>
    </row>
    <row r="5" spans="3:16" x14ac:dyDescent="0.3">
      <c r="C5" s="19"/>
      <c r="D5" s="10"/>
      <c r="E5" s="6"/>
      <c r="F5" s="6"/>
      <c r="G5" s="6"/>
      <c r="H5" s="6"/>
      <c r="I5" s="6"/>
      <c r="K5" s="6"/>
      <c r="L5" s="16"/>
      <c r="M5" s="16"/>
      <c r="N5" s="16"/>
      <c r="O5" s="6"/>
      <c r="P5" s="20"/>
    </row>
    <row r="6" spans="3:16" ht="18.75" x14ac:dyDescent="0.3">
      <c r="C6" s="19"/>
      <c r="D6" s="10"/>
      <c r="E6" s="373" t="s">
        <v>4</v>
      </c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20"/>
    </row>
    <row r="7" spans="3:16" ht="4.5" customHeight="1" x14ac:dyDescent="0.3"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20"/>
    </row>
    <row r="8" spans="3:16" ht="18.75" customHeight="1" x14ac:dyDescent="0.35">
      <c r="C8" s="19"/>
      <c r="D8" s="10"/>
      <c r="E8" s="374" t="s">
        <v>126</v>
      </c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20"/>
    </row>
    <row r="9" spans="3:16" ht="5.25" customHeight="1" x14ac:dyDescent="0.3">
      <c r="C9" s="19"/>
      <c r="D9" s="10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</row>
    <row r="10" spans="3:16" x14ac:dyDescent="0.3">
      <c r="C10" s="19"/>
      <c r="D10" s="10"/>
      <c r="E10" s="375" t="s">
        <v>212</v>
      </c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20"/>
    </row>
    <row r="11" spans="3:16" ht="5.25" customHeight="1" x14ac:dyDescent="0.3">
      <c r="C11" s="19"/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</row>
    <row r="12" spans="3:16" x14ac:dyDescent="0.3">
      <c r="C12" s="19"/>
      <c r="D12" s="10"/>
      <c r="E12" s="375" t="s">
        <v>6</v>
      </c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20"/>
    </row>
    <row r="13" spans="3:16" ht="6.75" customHeight="1" x14ac:dyDescent="0.3">
      <c r="C13" s="19"/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3:16" x14ac:dyDescent="0.3">
      <c r="C14" s="19"/>
      <c r="D14" s="32"/>
      <c r="E14" s="33"/>
      <c r="F14" s="33"/>
      <c r="G14" s="34" t="s">
        <v>5</v>
      </c>
      <c r="H14" s="33"/>
      <c r="I14" s="35" t="s">
        <v>210</v>
      </c>
      <c r="J14" s="36"/>
      <c r="K14" s="33"/>
      <c r="L14" s="35" t="s">
        <v>205</v>
      </c>
      <c r="M14" s="35"/>
      <c r="N14" s="35" t="s">
        <v>213</v>
      </c>
      <c r="O14" s="37"/>
      <c r="P14" s="20"/>
    </row>
    <row r="15" spans="3:16" x14ac:dyDescent="0.3">
      <c r="C15" s="19"/>
      <c r="D15" s="32"/>
      <c r="E15" s="33"/>
      <c r="F15" s="38" t="s">
        <v>10</v>
      </c>
      <c r="G15" s="38"/>
      <c r="H15" s="38" t="s">
        <v>0</v>
      </c>
      <c r="I15" s="39">
        <f>+'Balance-Anexo1A'!F7</f>
        <v>1753537.0300000003</v>
      </c>
      <c r="J15" s="39"/>
      <c r="K15" s="38" t="s">
        <v>0</v>
      </c>
      <c r="L15" s="39">
        <f>+'Balance-Anexo1A'!G7</f>
        <v>1924716.86</v>
      </c>
      <c r="M15" s="39"/>
      <c r="N15" s="39">
        <f>+'Balance-Anexo1A'!I7</f>
        <v>2448523.14</v>
      </c>
      <c r="O15" s="40"/>
      <c r="P15" s="20"/>
    </row>
    <row r="16" spans="3:16" x14ac:dyDescent="0.3">
      <c r="C16" s="19"/>
      <c r="D16" s="32"/>
      <c r="E16" s="33"/>
      <c r="F16" s="38" t="s">
        <v>9</v>
      </c>
      <c r="G16" s="38"/>
      <c r="H16" s="33"/>
      <c r="I16" s="39">
        <f>+'Balance-Anexo1A'!F13</f>
        <v>49393013.68</v>
      </c>
      <c r="J16" s="39"/>
      <c r="K16" s="41"/>
      <c r="L16" s="39">
        <f>+'Balance-Anexo1A'!G13</f>
        <v>49393013.68</v>
      </c>
      <c r="M16" s="39"/>
      <c r="N16" s="39">
        <f>+'Balance-Anexo1A'!I13</f>
        <v>41650395.880000003</v>
      </c>
      <c r="O16" s="37"/>
      <c r="P16" s="20"/>
    </row>
    <row r="17" spans="3:20" x14ac:dyDescent="0.3">
      <c r="C17" s="19"/>
      <c r="D17" s="32"/>
      <c r="E17" s="33"/>
      <c r="F17" s="38" t="s">
        <v>11</v>
      </c>
      <c r="G17" s="38"/>
      <c r="H17" s="33"/>
      <c r="I17" s="39">
        <f>+'Balance-Anexo1A'!F21</f>
        <v>15771826.829999983</v>
      </c>
      <c r="J17" s="39"/>
      <c r="K17" s="41"/>
      <c r="L17" s="39">
        <f>+'Balance-Anexo1A'!G21</f>
        <v>15916274.930000007</v>
      </c>
      <c r="M17" s="39"/>
      <c r="N17" s="39">
        <f>+'Balance-Anexo1A'!I21</f>
        <v>24894724.620000005</v>
      </c>
      <c r="O17" s="37"/>
      <c r="P17" s="20"/>
    </row>
    <row r="18" spans="3:20" x14ac:dyDescent="0.3">
      <c r="C18" s="19"/>
      <c r="D18" s="32"/>
      <c r="E18" s="33"/>
      <c r="F18" s="38" t="s">
        <v>12</v>
      </c>
      <c r="G18" s="38"/>
      <c r="H18" s="33"/>
      <c r="I18" s="39">
        <f>+'Balance-Anexo1A'!F44</f>
        <v>15448168.799999999</v>
      </c>
      <c r="J18" s="39"/>
      <c r="K18" s="41"/>
      <c r="L18" s="39">
        <f>+'Balance-Anexo1A'!G44</f>
        <v>14926881.59</v>
      </c>
      <c r="M18" s="39"/>
      <c r="N18" s="39">
        <f>+'Balance-Anexo1A'!I44</f>
        <v>18609219.540000003</v>
      </c>
      <c r="O18" s="37"/>
      <c r="P18" s="20"/>
    </row>
    <row r="19" spans="3:20" x14ac:dyDescent="0.3">
      <c r="C19" s="19"/>
      <c r="D19" s="32"/>
      <c r="E19" s="38"/>
      <c r="F19" s="42" t="s">
        <v>13</v>
      </c>
      <c r="G19" s="38"/>
      <c r="H19" s="33"/>
      <c r="I19" s="41">
        <f>+'Balance-Anexo1A'!F50</f>
        <v>1280865.49</v>
      </c>
      <c r="J19" s="41"/>
      <c r="K19" s="41"/>
      <c r="L19" s="41">
        <f>+'Balance-Anexo1A'!G50</f>
        <v>1275602.51</v>
      </c>
      <c r="M19" s="41"/>
      <c r="N19" s="41">
        <f>+'Balance-Anexo1A'!I50</f>
        <v>986225.64999999991</v>
      </c>
      <c r="O19" s="37"/>
      <c r="P19" s="20"/>
    </row>
    <row r="20" spans="3:20" x14ac:dyDescent="0.3">
      <c r="C20" s="19"/>
      <c r="D20" s="32"/>
      <c r="E20" s="38"/>
      <c r="F20" s="38" t="s">
        <v>14</v>
      </c>
      <c r="G20" s="38"/>
      <c r="H20" s="33"/>
      <c r="I20" s="43">
        <f>+'Balance-Anexo1A'!F57</f>
        <v>99521.25</v>
      </c>
      <c r="J20" s="41"/>
      <c r="K20" s="41"/>
      <c r="L20" s="43">
        <f>+'Balance-Anexo1A'!G57</f>
        <v>58163.700000000012</v>
      </c>
      <c r="M20" s="41"/>
      <c r="N20" s="43">
        <f>+'Balance-Anexo1A'!I57</f>
        <v>56411.040000000037</v>
      </c>
      <c r="O20" s="37"/>
      <c r="P20" s="20"/>
    </row>
    <row r="21" spans="3:20" ht="5.25" customHeight="1" x14ac:dyDescent="0.3">
      <c r="C21" s="19"/>
      <c r="D21" s="32"/>
      <c r="E21" s="33"/>
      <c r="F21" s="38"/>
      <c r="G21" s="38"/>
      <c r="H21" s="33"/>
      <c r="I21" s="44"/>
      <c r="J21" s="44"/>
      <c r="K21" s="41"/>
      <c r="L21" s="44"/>
      <c r="M21" s="44"/>
      <c r="N21" s="44"/>
      <c r="O21" s="37"/>
      <c r="P21" s="20"/>
      <c r="T21" s="7"/>
    </row>
    <row r="22" spans="3:20" ht="17.25" thickBot="1" x14ac:dyDescent="0.35">
      <c r="C22" s="19"/>
      <c r="D22" s="32"/>
      <c r="E22" s="33"/>
      <c r="F22" s="33"/>
      <c r="G22" s="45" t="s">
        <v>129</v>
      </c>
      <c r="H22" s="45" t="s">
        <v>0</v>
      </c>
      <c r="I22" s="46">
        <f>SUM(I15:I20)</f>
        <v>83746933.079999983</v>
      </c>
      <c r="J22" s="47"/>
      <c r="K22" s="45" t="s">
        <v>0</v>
      </c>
      <c r="L22" s="46">
        <f>SUM(L15:L20)</f>
        <v>83494653.270000011</v>
      </c>
      <c r="M22" s="47"/>
      <c r="N22" s="46">
        <f>SUM(N15:N20)</f>
        <v>88645499.870000035</v>
      </c>
      <c r="O22" s="48"/>
      <c r="P22" s="20"/>
    </row>
    <row r="23" spans="3:20" ht="8.25" customHeight="1" thickTop="1" x14ac:dyDescent="0.3">
      <c r="C23" s="19"/>
      <c r="D23" s="32"/>
      <c r="E23" s="38"/>
      <c r="F23" s="33"/>
      <c r="G23" s="33"/>
      <c r="H23" s="33"/>
      <c r="I23" s="49"/>
      <c r="J23" s="49"/>
      <c r="K23" s="33"/>
      <c r="L23" s="49"/>
      <c r="M23" s="49"/>
      <c r="N23" s="49"/>
      <c r="O23" s="37"/>
      <c r="P23" s="20"/>
    </row>
    <row r="24" spans="3:20" x14ac:dyDescent="0.3">
      <c r="C24" s="19"/>
      <c r="D24" s="32"/>
      <c r="E24" s="33"/>
      <c r="F24" s="45" t="s">
        <v>127</v>
      </c>
      <c r="G24" s="34"/>
      <c r="H24" s="33"/>
      <c r="I24" s="49"/>
      <c r="J24" s="49"/>
      <c r="K24" s="33"/>
      <c r="L24" s="49"/>
      <c r="M24" s="49"/>
      <c r="N24" s="49"/>
      <c r="O24" s="37"/>
      <c r="P24" s="20"/>
    </row>
    <row r="25" spans="3:20" ht="6" customHeight="1" x14ac:dyDescent="0.3">
      <c r="C25" s="19"/>
      <c r="D25" s="32"/>
      <c r="E25" s="38"/>
      <c r="F25" s="33"/>
      <c r="G25" s="33"/>
      <c r="H25" s="33"/>
      <c r="I25" s="49"/>
      <c r="J25" s="49"/>
      <c r="K25" s="33"/>
      <c r="L25" s="49"/>
      <c r="M25" s="49"/>
      <c r="N25" s="49"/>
      <c r="O25" s="37"/>
      <c r="P25" s="20"/>
    </row>
    <row r="26" spans="3:20" x14ac:dyDescent="0.3">
      <c r="C26" s="19"/>
      <c r="D26" s="32"/>
      <c r="E26" s="45" t="s">
        <v>1</v>
      </c>
      <c r="F26" s="33"/>
      <c r="G26" s="33"/>
      <c r="H26" s="33"/>
      <c r="I26" s="49"/>
      <c r="J26" s="49"/>
      <c r="K26" s="33"/>
      <c r="L26" s="49"/>
      <c r="M26" s="49"/>
      <c r="N26" s="49"/>
      <c r="O26" s="37"/>
      <c r="P26" s="20"/>
    </row>
    <row r="27" spans="3:20" x14ac:dyDescent="0.3">
      <c r="C27" s="19"/>
      <c r="D27" s="32"/>
      <c r="E27" s="38"/>
      <c r="F27" s="33" t="s">
        <v>202</v>
      </c>
      <c r="G27" s="33"/>
      <c r="H27" s="33"/>
      <c r="I27" s="49"/>
      <c r="J27" s="49"/>
      <c r="K27" s="33"/>
      <c r="L27" s="49"/>
      <c r="M27" s="49"/>
      <c r="N27" s="49"/>
      <c r="O27" s="37"/>
      <c r="P27" s="20"/>
    </row>
    <row r="28" spans="3:20" ht="14.25" customHeight="1" x14ac:dyDescent="0.3">
      <c r="C28" s="19"/>
      <c r="D28" s="32"/>
      <c r="E28" s="38"/>
      <c r="F28" s="376" t="s">
        <v>122</v>
      </c>
      <c r="G28" s="376"/>
      <c r="H28" s="38" t="s">
        <v>0</v>
      </c>
      <c r="I28" s="39">
        <f>+'Balance-Anexo1A'!F71</f>
        <v>114119547.09999999</v>
      </c>
      <c r="J28" s="39"/>
      <c r="K28" s="38" t="s">
        <v>0</v>
      </c>
      <c r="L28" s="39">
        <f>+'Balance-Anexo1A'!G71</f>
        <v>114119547.09999999</v>
      </c>
      <c r="M28" s="39"/>
      <c r="N28" s="39">
        <f>+'Balance-Anexo1A'!I71</f>
        <v>114569547.09999999</v>
      </c>
      <c r="O28" s="37"/>
      <c r="P28" s="20"/>
    </row>
    <row r="29" spans="3:20" x14ac:dyDescent="0.3">
      <c r="C29" s="19"/>
      <c r="D29" s="32"/>
      <c r="E29" s="38"/>
      <c r="F29" s="372" t="s">
        <v>3</v>
      </c>
      <c r="G29" s="372"/>
      <c r="H29" s="38"/>
      <c r="I29" s="39">
        <f>+'Balance-Anexo1A'!F65</f>
        <v>793499.3600000001</v>
      </c>
      <c r="J29" s="39"/>
      <c r="K29" s="38"/>
      <c r="L29" s="39">
        <f>+'Balance-Anexo1A'!G65</f>
        <v>799117.76</v>
      </c>
      <c r="M29" s="39"/>
      <c r="N29" s="39">
        <f>+'Balance-Anexo1A'!I65</f>
        <v>739663.96</v>
      </c>
      <c r="O29" s="37"/>
      <c r="P29" s="20"/>
    </row>
    <row r="30" spans="3:20" x14ac:dyDescent="0.3">
      <c r="C30" s="19"/>
      <c r="D30" s="32"/>
      <c r="E30" s="33"/>
      <c r="F30" s="38" t="s">
        <v>15</v>
      </c>
      <c r="G30" s="38"/>
      <c r="H30" s="38"/>
      <c r="I30" s="50">
        <f>+'Balance-Anexo1A'!F75</f>
        <v>673495.4</v>
      </c>
      <c r="J30" s="39"/>
      <c r="K30" s="38"/>
      <c r="L30" s="50">
        <f>+'Balance-Anexo1A'!G75</f>
        <v>671989.24</v>
      </c>
      <c r="M30" s="39"/>
      <c r="N30" s="50">
        <f>+'Balance-Anexo1A'!I75</f>
        <v>819898.22</v>
      </c>
      <c r="O30" s="40"/>
      <c r="P30" s="20"/>
    </row>
    <row r="31" spans="3:20" ht="4.5" customHeight="1" x14ac:dyDescent="0.3">
      <c r="C31" s="19"/>
      <c r="D31" s="32"/>
      <c r="E31" s="33"/>
      <c r="F31" s="38"/>
      <c r="G31" s="38"/>
      <c r="H31" s="33"/>
      <c r="I31" s="44"/>
      <c r="J31" s="44"/>
      <c r="K31" s="33"/>
      <c r="L31" s="44"/>
      <c r="M31" s="44"/>
      <c r="N31" s="44"/>
      <c r="O31" s="37"/>
      <c r="P31" s="20"/>
    </row>
    <row r="32" spans="3:20" x14ac:dyDescent="0.3">
      <c r="C32" s="19"/>
      <c r="D32" s="32"/>
      <c r="E32" s="33"/>
      <c r="F32" s="33"/>
      <c r="G32" s="45" t="s">
        <v>130</v>
      </c>
      <c r="H32" s="51"/>
      <c r="I32" s="52">
        <f>SUM(I28:I30)</f>
        <v>115586541.86</v>
      </c>
      <c r="J32" s="47"/>
      <c r="K32" s="51"/>
      <c r="L32" s="52">
        <f>SUM(L28:L30)</f>
        <v>115590654.09999999</v>
      </c>
      <c r="M32" s="47"/>
      <c r="N32" s="52">
        <f>SUM(N28:N30)</f>
        <v>116129109.27999999</v>
      </c>
      <c r="O32" s="37"/>
      <c r="P32" s="20"/>
    </row>
    <row r="33" spans="3:18" ht="9.75" customHeight="1" x14ac:dyDescent="0.3">
      <c r="C33" s="19"/>
      <c r="D33" s="32"/>
      <c r="E33" s="33"/>
      <c r="F33" s="33"/>
      <c r="G33" s="38"/>
      <c r="H33" s="33"/>
      <c r="I33" s="49"/>
      <c r="J33" s="49"/>
      <c r="K33" s="33"/>
      <c r="L33" s="49"/>
      <c r="M33" s="49"/>
      <c r="N33" s="49"/>
      <c r="O33" s="37"/>
      <c r="P33" s="20"/>
    </row>
    <row r="34" spans="3:18" ht="6" customHeight="1" x14ac:dyDescent="0.3">
      <c r="C34" s="19"/>
      <c r="D34" s="32"/>
      <c r="E34" s="33"/>
      <c r="F34" s="38"/>
      <c r="G34" s="38"/>
      <c r="H34" s="33"/>
      <c r="I34" s="49"/>
      <c r="J34" s="49"/>
      <c r="K34" s="33"/>
      <c r="L34" s="49"/>
      <c r="M34" s="49"/>
      <c r="N34" s="49"/>
      <c r="O34" s="37"/>
      <c r="P34" s="20"/>
    </row>
    <row r="35" spans="3:18" x14ac:dyDescent="0.3">
      <c r="C35" s="19"/>
      <c r="D35" s="32"/>
      <c r="E35" s="45" t="s">
        <v>2</v>
      </c>
      <c r="F35" s="38"/>
      <c r="G35" s="38"/>
      <c r="H35" s="33"/>
      <c r="I35" s="49"/>
      <c r="J35" s="49"/>
      <c r="K35" s="33"/>
      <c r="L35" s="49"/>
      <c r="M35" s="49"/>
      <c r="N35" s="49"/>
      <c r="O35" s="37"/>
      <c r="P35" s="20"/>
    </row>
    <row r="36" spans="3:18" x14ac:dyDescent="0.3">
      <c r="C36" s="19"/>
      <c r="D36" s="32"/>
      <c r="E36" s="33"/>
      <c r="F36" s="38" t="s">
        <v>16</v>
      </c>
      <c r="G36" s="38"/>
      <c r="H36" s="33"/>
      <c r="I36" s="39">
        <f>+'Balance-Anexo1A'!F82</f>
        <v>124683917.73999999</v>
      </c>
      <c r="J36" s="39"/>
      <c r="K36" s="33"/>
      <c r="L36" s="39">
        <f>+'Balance-Anexo1A'!G82</f>
        <v>120863227.88000001</v>
      </c>
      <c r="M36" s="39"/>
      <c r="N36" s="39">
        <f>+'Balance-Anexo1A'!I82</f>
        <v>122031235.18000001</v>
      </c>
      <c r="O36" s="37"/>
      <c r="P36" s="20"/>
    </row>
    <row r="37" spans="3:18" x14ac:dyDescent="0.3">
      <c r="C37" s="19"/>
      <c r="D37" s="32"/>
      <c r="E37" s="33"/>
      <c r="F37" s="38" t="s">
        <v>17</v>
      </c>
      <c r="G37" s="38"/>
      <c r="H37" s="33"/>
      <c r="I37" s="39">
        <f>+'Balance-Anexo1A'!F102</f>
        <v>76258399.099999994</v>
      </c>
      <c r="J37" s="39"/>
      <c r="K37" s="33"/>
      <c r="L37" s="39">
        <f>+'Balance-Anexo1A'!G102</f>
        <v>76829491.550000012</v>
      </c>
      <c r="M37" s="39"/>
      <c r="N37" s="39">
        <f>+'Balance-Anexo1A'!I102</f>
        <v>75032906.560000002</v>
      </c>
      <c r="O37" s="37"/>
      <c r="P37" s="26"/>
    </row>
    <row r="38" spans="3:18" x14ac:dyDescent="0.3">
      <c r="C38" s="19"/>
      <c r="D38" s="32"/>
      <c r="E38" s="33"/>
      <c r="F38" s="38" t="s">
        <v>207</v>
      </c>
      <c r="G38" s="38"/>
      <c r="H38" s="33"/>
      <c r="I38" s="39">
        <f>+'Balance-Anexo1A'!F108</f>
        <v>-231904031.65000001</v>
      </c>
      <c r="J38" s="39"/>
      <c r="K38" s="33"/>
      <c r="L38" s="39">
        <f>+'Balance-Anexo1A'!G108</f>
        <v>-229807389.05000001</v>
      </c>
      <c r="M38" s="39"/>
      <c r="N38" s="39">
        <f>+'Balance-Anexo1A'!I108</f>
        <v>-224453641.62</v>
      </c>
      <c r="O38" s="37"/>
      <c r="P38" s="26"/>
    </row>
    <row r="39" spans="3:18" x14ac:dyDescent="0.3">
      <c r="C39" s="19"/>
      <c r="D39" s="32"/>
      <c r="E39" s="33"/>
      <c r="F39" s="38" t="s">
        <v>206</v>
      </c>
      <c r="G39" s="38"/>
      <c r="H39" s="33"/>
      <c r="I39" s="50">
        <f>+'Balance-Anexo1A'!F109</f>
        <v>-877893.96999999974</v>
      </c>
      <c r="J39" s="39"/>
      <c r="K39" s="33"/>
      <c r="L39" s="50">
        <f>+'Balance-Anexo1A'!G109</f>
        <v>18668.789999999633</v>
      </c>
      <c r="M39" s="39"/>
      <c r="N39" s="50">
        <f>+'Balance-Anexo1A'!I109</f>
        <v>-94109.529999999795</v>
      </c>
      <c r="O39" s="37"/>
      <c r="P39" s="26"/>
    </row>
    <row r="40" spans="3:18" ht="4.5" customHeight="1" x14ac:dyDescent="0.3">
      <c r="C40" s="19"/>
      <c r="D40" s="32"/>
      <c r="E40" s="33"/>
      <c r="F40" s="33"/>
      <c r="G40" s="38"/>
      <c r="H40" s="33"/>
      <c r="I40" s="44"/>
      <c r="J40" s="44"/>
      <c r="K40" s="33"/>
      <c r="L40" s="44"/>
      <c r="M40" s="44"/>
      <c r="N40" s="44"/>
      <c r="O40" s="37"/>
      <c r="P40" s="20"/>
      <c r="R40" s="9"/>
    </row>
    <row r="41" spans="3:18" x14ac:dyDescent="0.3">
      <c r="C41" s="19"/>
      <c r="D41" s="32"/>
      <c r="E41" s="33"/>
      <c r="F41" s="33"/>
      <c r="G41" s="45" t="s">
        <v>131</v>
      </c>
      <c r="H41" s="51"/>
      <c r="I41" s="53">
        <f>SUM(I36:I40)</f>
        <v>-31839608.780000031</v>
      </c>
      <c r="J41" s="54"/>
      <c r="K41" s="51"/>
      <c r="L41" s="53">
        <f>SUM(L36:L40)</f>
        <v>-32096000.830000006</v>
      </c>
      <c r="M41" s="54"/>
      <c r="N41" s="53">
        <f>SUM(N36:N40)</f>
        <v>-27483609.409999996</v>
      </c>
      <c r="O41" s="37"/>
      <c r="P41" s="20"/>
      <c r="R41" s="9"/>
    </row>
    <row r="42" spans="3:18" ht="8.25" customHeight="1" x14ac:dyDescent="0.3">
      <c r="C42" s="19"/>
      <c r="D42" s="32"/>
      <c r="E42" s="33"/>
      <c r="F42" s="33"/>
      <c r="G42" s="38"/>
      <c r="H42" s="33"/>
      <c r="I42" s="55"/>
      <c r="J42" s="55"/>
      <c r="K42" s="33"/>
      <c r="L42" s="55"/>
      <c r="M42" s="55"/>
      <c r="N42" s="55"/>
      <c r="O42" s="37"/>
      <c r="P42" s="20"/>
      <c r="R42" s="9"/>
    </row>
    <row r="43" spans="3:18" ht="7.5" customHeight="1" x14ac:dyDescent="0.3">
      <c r="C43" s="19"/>
      <c r="D43" s="32"/>
      <c r="E43" s="33"/>
      <c r="F43" s="33"/>
      <c r="G43" s="38"/>
      <c r="H43" s="33"/>
      <c r="I43" s="44"/>
      <c r="J43" s="44"/>
      <c r="K43" s="33"/>
      <c r="L43" s="44"/>
      <c r="M43" s="44"/>
      <c r="N43" s="44"/>
      <c r="O43" s="37"/>
      <c r="P43" s="20"/>
      <c r="R43" s="9"/>
    </row>
    <row r="44" spans="3:18" ht="17.25" thickBot="1" x14ac:dyDescent="0.35">
      <c r="C44" s="19"/>
      <c r="D44" s="32"/>
      <c r="E44" s="33"/>
      <c r="F44" s="33"/>
      <c r="G44" s="45" t="s">
        <v>132</v>
      </c>
      <c r="H44" s="45" t="s">
        <v>0</v>
      </c>
      <c r="I44" s="46">
        <f>+I32+I41</f>
        <v>83746933.079999968</v>
      </c>
      <c r="J44" s="47"/>
      <c r="K44" s="45" t="s">
        <v>0</v>
      </c>
      <c r="L44" s="46">
        <f>+L32+L41</f>
        <v>83494653.269999981</v>
      </c>
      <c r="M44" s="47"/>
      <c r="N44" s="46">
        <f>+N32+N41</f>
        <v>88645499.86999999</v>
      </c>
      <c r="O44" s="40"/>
      <c r="P44" s="20"/>
    </row>
    <row r="45" spans="3:18" ht="17.25" thickTop="1" x14ac:dyDescent="0.3">
      <c r="C45" s="19"/>
      <c r="D45" s="56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8"/>
      <c r="P45" s="20"/>
    </row>
    <row r="46" spans="3:18" x14ac:dyDescent="0.3">
      <c r="C46" s="19"/>
      <c r="D46" s="10"/>
      <c r="E46" s="6"/>
      <c r="F46" s="6"/>
      <c r="G46" s="6"/>
      <c r="H46" s="6"/>
      <c r="I46" s="6"/>
      <c r="K46" s="6"/>
      <c r="L46" s="6"/>
      <c r="M46" s="6"/>
      <c r="N46" s="6"/>
      <c r="O46" s="6"/>
      <c r="P46" s="20"/>
    </row>
    <row r="47" spans="3:18" x14ac:dyDescent="0.3">
      <c r="C47" s="19"/>
      <c r="D47" s="10"/>
      <c r="E47" s="6"/>
      <c r="F47" s="6"/>
      <c r="G47" s="6"/>
      <c r="H47" s="6"/>
      <c r="I47" s="6"/>
      <c r="K47" s="6"/>
      <c r="L47" s="6"/>
      <c r="M47" s="6"/>
      <c r="N47" s="6"/>
      <c r="O47" s="6"/>
      <c r="P47" s="20"/>
    </row>
    <row r="48" spans="3:18" x14ac:dyDescent="0.3">
      <c r="C48" s="19"/>
      <c r="D48" s="10"/>
      <c r="E48" s="6"/>
      <c r="F48" s="6"/>
      <c r="G48" s="6"/>
      <c r="H48" s="6"/>
      <c r="I48" s="6"/>
      <c r="K48" s="6"/>
      <c r="L48" s="6"/>
      <c r="M48" s="6"/>
      <c r="N48" s="6"/>
      <c r="O48" s="6"/>
      <c r="P48" s="20"/>
    </row>
    <row r="49" spans="3:16" x14ac:dyDescent="0.3">
      <c r="C49" s="19"/>
      <c r="D49" s="10"/>
      <c r="E49" s="6"/>
      <c r="F49" s="6"/>
      <c r="G49" s="6"/>
      <c r="H49" s="6"/>
      <c r="I49" s="6"/>
      <c r="K49" s="6"/>
      <c r="L49" s="6"/>
      <c r="M49" s="6"/>
      <c r="N49" s="6"/>
      <c r="O49" s="6"/>
      <c r="P49" s="20"/>
    </row>
    <row r="50" spans="3:16" x14ac:dyDescent="0.3">
      <c r="C50" s="19"/>
      <c r="D50" s="10"/>
      <c r="E50" s="6"/>
      <c r="F50" s="6"/>
      <c r="G50" s="6"/>
      <c r="H50" s="6"/>
      <c r="I50" s="6"/>
      <c r="K50" s="6"/>
      <c r="L50" s="6"/>
      <c r="M50" s="6"/>
      <c r="N50" s="6"/>
      <c r="O50" s="6"/>
      <c r="P50" s="20"/>
    </row>
    <row r="51" spans="3:16" x14ac:dyDescent="0.3">
      <c r="C51" s="19"/>
      <c r="D51" s="10"/>
      <c r="E51" s="6"/>
      <c r="F51" s="6"/>
      <c r="G51" s="6"/>
      <c r="H51" s="6"/>
      <c r="I51" s="14"/>
      <c r="J51" s="14"/>
      <c r="K51" s="6"/>
      <c r="L51" s="6"/>
      <c r="M51" s="6"/>
      <c r="N51" s="6"/>
      <c r="O51" s="6"/>
      <c r="P51" s="20"/>
    </row>
    <row r="52" spans="3:16" x14ac:dyDescent="0.3">
      <c r="C52" s="19"/>
      <c r="D52" s="10"/>
      <c r="E52" s="6"/>
      <c r="F52" s="6"/>
      <c r="G52" s="6"/>
      <c r="H52" s="6"/>
      <c r="I52" s="6"/>
      <c r="K52" s="6"/>
      <c r="L52" s="6"/>
      <c r="M52" s="6"/>
      <c r="N52" s="6"/>
      <c r="O52" s="6"/>
      <c r="P52" s="20"/>
    </row>
    <row r="53" spans="3:16" x14ac:dyDescent="0.3">
      <c r="C53" s="19"/>
      <c r="D53" s="10"/>
      <c r="E53" s="6" t="s">
        <v>18</v>
      </c>
      <c r="F53" s="6"/>
      <c r="G53" s="6"/>
      <c r="H53" s="6"/>
      <c r="I53" s="6"/>
      <c r="K53" s="6"/>
      <c r="L53" s="6"/>
      <c r="M53" s="6"/>
      <c r="N53" s="6"/>
      <c r="O53" s="6"/>
      <c r="P53" s="20"/>
    </row>
    <row r="54" spans="3:16" x14ac:dyDescent="0.3">
      <c r="C54" s="19"/>
      <c r="D54" s="10"/>
      <c r="E54" s="6"/>
      <c r="F54" s="6"/>
      <c r="G54" s="6"/>
      <c r="H54" s="6"/>
      <c r="I54" s="6"/>
      <c r="K54" s="6"/>
      <c r="L54" s="6"/>
      <c r="M54" s="6"/>
      <c r="N54" s="6"/>
      <c r="O54" s="6"/>
      <c r="P54" s="20"/>
    </row>
    <row r="55" spans="3:16" ht="17.25" thickBot="1" x14ac:dyDescent="0.35">
      <c r="C55" s="21"/>
      <c r="D55" s="2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</row>
    <row r="56" spans="3:16" x14ac:dyDescent="0.3">
      <c r="E56" s="5"/>
      <c r="I56" s="8"/>
      <c r="J56" s="15"/>
    </row>
    <row r="60" spans="3:16" ht="21.75" customHeight="1" x14ac:dyDescent="0.3"/>
  </sheetData>
  <mergeCells count="6">
    <mergeCell ref="F29:G29"/>
    <mergeCell ref="E6:O6"/>
    <mergeCell ref="E8:O8"/>
    <mergeCell ref="E10:O10"/>
    <mergeCell ref="E12:O12"/>
    <mergeCell ref="F28:G28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topLeftCell="A13" workbookViewId="0">
      <selection activeCell="E10" sqref="E10"/>
    </sheetView>
  </sheetViews>
  <sheetFormatPr baseColWidth="10" defaultRowHeight="12.75" x14ac:dyDescent="0.2"/>
  <cols>
    <col min="1" max="1" width="5.5703125" style="229" customWidth="1"/>
    <col min="2" max="2" width="3.7109375" style="229" customWidth="1"/>
    <col min="3" max="3" width="3.140625" style="229" customWidth="1"/>
    <col min="4" max="4" width="2.5703125" style="229" customWidth="1"/>
    <col min="5" max="5" width="50.140625" style="229" customWidth="1"/>
    <col min="6" max="6" width="28.7109375" style="229" customWidth="1"/>
    <col min="7" max="7" width="28.7109375" style="229" hidden="1" customWidth="1"/>
    <col min="8" max="8" width="27.140625" style="229" hidden="1" customWidth="1"/>
    <col min="9" max="9" width="28.7109375" style="229" customWidth="1"/>
    <col min="10" max="10" width="26" style="229" customWidth="1"/>
    <col min="11" max="11" width="5" style="229" customWidth="1"/>
    <col min="12" max="16384" width="11.42578125" style="229"/>
  </cols>
  <sheetData>
    <row r="1" spans="1:10" ht="21" x14ac:dyDescent="0.35">
      <c r="A1" s="228" t="s">
        <v>19</v>
      </c>
      <c r="B1" s="378" t="s">
        <v>20</v>
      </c>
      <c r="C1" s="378"/>
      <c r="D1" s="378"/>
      <c r="E1" s="378"/>
      <c r="F1" s="378"/>
      <c r="G1" s="378"/>
      <c r="H1" s="378"/>
      <c r="I1" s="378"/>
      <c r="J1" s="378"/>
    </row>
    <row r="2" spans="1:10" ht="15.75" x14ac:dyDescent="0.25">
      <c r="A2" s="228"/>
      <c r="B2" s="377" t="s">
        <v>26</v>
      </c>
      <c r="C2" s="377"/>
      <c r="D2" s="377"/>
      <c r="E2" s="377"/>
      <c r="F2" s="377"/>
      <c r="G2" s="377"/>
      <c r="H2" s="377"/>
      <c r="I2" s="377"/>
      <c r="J2" s="377"/>
    </row>
    <row r="3" spans="1:10" ht="15.75" x14ac:dyDescent="0.25">
      <c r="A3" s="228"/>
      <c r="B3" s="230"/>
      <c r="C3" s="230"/>
      <c r="D3" s="230"/>
      <c r="E3" s="230"/>
      <c r="F3" s="230"/>
      <c r="G3" s="230"/>
      <c r="H3" s="230"/>
      <c r="I3" s="230"/>
    </row>
    <row r="4" spans="1:10" ht="23.25" customHeight="1" x14ac:dyDescent="0.2">
      <c r="A4" s="228"/>
      <c r="B4" s="379" t="s">
        <v>27</v>
      </c>
      <c r="C4" s="379"/>
      <c r="D4" s="379"/>
      <c r="E4" s="379"/>
      <c r="F4" s="379"/>
      <c r="G4" s="379"/>
      <c r="H4" s="379"/>
      <c r="I4" s="379"/>
      <c r="J4" s="379"/>
    </row>
    <row r="5" spans="1:10" ht="45.75" customHeight="1" x14ac:dyDescent="0.25">
      <c r="A5" s="228"/>
      <c r="B5" s="231"/>
      <c r="C5" s="232"/>
      <c r="D5" s="232"/>
      <c r="E5" s="233"/>
      <c r="F5" s="234" t="s">
        <v>208</v>
      </c>
      <c r="G5" s="234" t="s">
        <v>204</v>
      </c>
      <c r="H5" s="235" t="s">
        <v>211</v>
      </c>
      <c r="I5" s="234" t="s">
        <v>138</v>
      </c>
      <c r="J5" s="235" t="s">
        <v>123</v>
      </c>
    </row>
    <row r="6" spans="1:10" ht="15.75" x14ac:dyDescent="0.25">
      <c r="A6" s="228"/>
      <c r="B6" s="236" t="s">
        <v>28</v>
      </c>
      <c r="C6" s="237"/>
      <c r="D6" s="237"/>
      <c r="E6" s="238"/>
      <c r="F6" s="239" t="s">
        <v>29</v>
      </c>
      <c r="G6" s="240">
        <v>-2</v>
      </c>
      <c r="H6" s="241" t="s">
        <v>30</v>
      </c>
      <c r="I6" s="240">
        <v>-2</v>
      </c>
      <c r="J6" s="241" t="s">
        <v>30</v>
      </c>
    </row>
    <row r="7" spans="1:10" ht="21" customHeight="1" x14ac:dyDescent="0.3">
      <c r="A7" s="228"/>
      <c r="B7" s="242" t="s">
        <v>10</v>
      </c>
      <c r="C7" s="243"/>
      <c r="D7" s="243"/>
      <c r="E7" s="244"/>
      <c r="F7" s="245">
        <f>SUM(F8:F11)</f>
        <v>1753537.0300000003</v>
      </c>
      <c r="G7" s="245">
        <f>SUM(G8:G11)</f>
        <v>1924716.86</v>
      </c>
      <c r="H7" s="245">
        <f>SUM(H8:H11)</f>
        <v>-171179.82999999987</v>
      </c>
      <c r="I7" s="245">
        <f>SUM(I8:I11)</f>
        <v>2448523.14</v>
      </c>
      <c r="J7" s="245">
        <f>SUM(J8:J11)</f>
        <v>-694986.11</v>
      </c>
    </row>
    <row r="8" spans="1:10" ht="21" customHeight="1" x14ac:dyDescent="0.25">
      <c r="A8" s="228"/>
      <c r="B8" s="246"/>
      <c r="C8" s="247" t="s">
        <v>31</v>
      </c>
      <c r="D8" s="248"/>
      <c r="E8" s="249"/>
      <c r="F8" s="250">
        <v>112</v>
      </c>
      <c r="G8" s="250">
        <v>570.34</v>
      </c>
      <c r="H8" s="251">
        <f>+F8-G8</f>
        <v>-458.34000000000003</v>
      </c>
      <c r="I8" s="250">
        <v>0</v>
      </c>
      <c r="J8" s="251">
        <f>+F8-I8</f>
        <v>112</v>
      </c>
    </row>
    <row r="9" spans="1:10" ht="21" customHeight="1" x14ac:dyDescent="0.25">
      <c r="A9" s="228"/>
      <c r="B9" s="252"/>
      <c r="C9" s="247" t="s">
        <v>32</v>
      </c>
      <c r="D9" s="253"/>
      <c r="E9" s="249"/>
      <c r="F9" s="250">
        <v>528282.42000000004</v>
      </c>
      <c r="G9" s="250">
        <v>494569.72</v>
      </c>
      <c r="H9" s="251">
        <f>+F9-G9</f>
        <v>33712.70000000007</v>
      </c>
      <c r="I9" s="250">
        <v>591014.05000000005</v>
      </c>
      <c r="J9" s="251">
        <f>+F9-I9</f>
        <v>-62731.630000000005</v>
      </c>
    </row>
    <row r="10" spans="1:10" ht="21" customHeight="1" x14ac:dyDescent="0.25">
      <c r="A10" s="228"/>
      <c r="B10" s="252"/>
      <c r="C10" s="247" t="s">
        <v>33</v>
      </c>
      <c r="D10" s="253"/>
      <c r="E10" s="249"/>
      <c r="F10" s="250">
        <v>1223668.32</v>
      </c>
      <c r="G10" s="250">
        <v>1428102.51</v>
      </c>
      <c r="H10" s="251">
        <f>+F10-G10</f>
        <v>-204434.18999999994</v>
      </c>
      <c r="I10" s="250">
        <v>1856034.8</v>
      </c>
      <c r="J10" s="251">
        <f>+F10-I10</f>
        <v>-632366.48</v>
      </c>
    </row>
    <row r="11" spans="1:10" ht="21" customHeight="1" x14ac:dyDescent="0.25">
      <c r="A11" s="228"/>
      <c r="B11" s="252"/>
      <c r="C11" s="247" t="s">
        <v>34</v>
      </c>
      <c r="D11" s="253"/>
      <c r="E11" s="249"/>
      <c r="F11" s="254">
        <v>1474.29</v>
      </c>
      <c r="G11" s="254">
        <v>1474.29</v>
      </c>
      <c r="H11" s="255">
        <f>+F11-G11</f>
        <v>0</v>
      </c>
      <c r="I11" s="254">
        <v>1474.29</v>
      </c>
      <c r="J11" s="256">
        <f>+F11-I11</f>
        <v>0</v>
      </c>
    </row>
    <row r="12" spans="1:10" ht="21" customHeight="1" x14ac:dyDescent="0.25">
      <c r="A12" s="228"/>
      <c r="B12" s="252"/>
      <c r="C12" s="257"/>
      <c r="D12" s="257"/>
      <c r="E12" s="258"/>
      <c r="F12" s="259"/>
      <c r="G12" s="259"/>
      <c r="H12" s="260"/>
      <c r="I12" s="259"/>
      <c r="J12" s="260"/>
    </row>
    <row r="13" spans="1:10" ht="21" customHeight="1" x14ac:dyDescent="0.3">
      <c r="A13" s="228"/>
      <c r="B13" s="261" t="s">
        <v>9</v>
      </c>
      <c r="C13" s="248"/>
      <c r="D13" s="248"/>
      <c r="E13" s="258"/>
      <c r="F13" s="262">
        <f>+F18+F19</f>
        <v>49393013.68</v>
      </c>
      <c r="G13" s="262">
        <f>+G18+G19</f>
        <v>49393013.68</v>
      </c>
      <c r="H13" s="262">
        <f>+H18+H19</f>
        <v>0</v>
      </c>
      <c r="I13" s="262">
        <f>+I18+I19</f>
        <v>41650395.880000003</v>
      </c>
      <c r="J13" s="262">
        <f>+J18+J19</f>
        <v>7742617.7999999961</v>
      </c>
    </row>
    <row r="14" spans="1:10" ht="21" customHeight="1" x14ac:dyDescent="0.25">
      <c r="A14" s="263"/>
      <c r="B14" s="252"/>
      <c r="C14" s="247" t="s">
        <v>35</v>
      </c>
      <c r="D14" s="253"/>
      <c r="E14" s="264"/>
      <c r="F14" s="250">
        <v>49373502.299999997</v>
      </c>
      <c r="G14" s="250">
        <v>49373502.299999997</v>
      </c>
      <c r="H14" s="251">
        <f>+F14-G14</f>
        <v>0</v>
      </c>
      <c r="I14" s="250">
        <v>41536499.960000001</v>
      </c>
      <c r="J14" s="251">
        <f>+F14-I14</f>
        <v>7837002.3399999961</v>
      </c>
    </row>
    <row r="15" spans="1:10" ht="21" hidden="1" customHeight="1" x14ac:dyDescent="0.25">
      <c r="A15" s="228"/>
      <c r="B15" s="252"/>
      <c r="C15" s="247" t="s">
        <v>36</v>
      </c>
      <c r="D15" s="253"/>
      <c r="E15" s="264"/>
      <c r="F15" s="250">
        <v>0</v>
      </c>
      <c r="G15" s="250">
        <v>0</v>
      </c>
      <c r="H15" s="251">
        <f>+F15-G15</f>
        <v>0</v>
      </c>
      <c r="I15" s="250">
        <v>0</v>
      </c>
      <c r="J15" s="251">
        <f>+F15-I15</f>
        <v>0</v>
      </c>
    </row>
    <row r="16" spans="1:10" ht="21" customHeight="1" x14ac:dyDescent="0.25">
      <c r="A16" s="228"/>
      <c r="B16" s="252"/>
      <c r="C16" s="247" t="s">
        <v>37</v>
      </c>
      <c r="D16" s="253"/>
      <c r="E16" s="264"/>
      <c r="F16" s="250">
        <v>19511.38</v>
      </c>
      <c r="G16" s="250">
        <v>19511.38</v>
      </c>
      <c r="H16" s="251">
        <f>+F16-G16</f>
        <v>0</v>
      </c>
      <c r="I16" s="250">
        <v>113895.92</v>
      </c>
      <c r="J16" s="251">
        <f>+F16-I16</f>
        <v>-94384.54</v>
      </c>
    </row>
    <row r="17" spans="1:13" ht="21" hidden="1" customHeight="1" x14ac:dyDescent="0.25">
      <c r="A17" s="228"/>
      <c r="B17" s="252"/>
      <c r="C17" s="247" t="s">
        <v>38</v>
      </c>
      <c r="D17" s="253"/>
      <c r="E17" s="264"/>
      <c r="F17" s="254">
        <v>0</v>
      </c>
      <c r="G17" s="254">
        <v>0</v>
      </c>
      <c r="H17" s="256">
        <f>+F17-G17</f>
        <v>0</v>
      </c>
      <c r="I17" s="254">
        <v>0</v>
      </c>
      <c r="J17" s="256">
        <f>+F17-I17</f>
        <v>0</v>
      </c>
    </row>
    <row r="18" spans="1:13" ht="21" customHeight="1" x14ac:dyDescent="0.25">
      <c r="A18" s="228"/>
      <c r="B18" s="252"/>
      <c r="C18" s="253"/>
      <c r="D18" s="253"/>
      <c r="E18" s="265" t="s">
        <v>39</v>
      </c>
      <c r="F18" s="266">
        <f>SUM(F14:F17)</f>
        <v>49393013.68</v>
      </c>
      <c r="G18" s="266">
        <f>SUM(G14:G17)</f>
        <v>49393013.68</v>
      </c>
      <c r="H18" s="266">
        <f>SUM(H14:H17)</f>
        <v>0</v>
      </c>
      <c r="I18" s="266">
        <f>SUM(I14:I17)</f>
        <v>41650395.880000003</v>
      </c>
      <c r="J18" s="266">
        <f>SUM(J14:J17)</f>
        <v>7742617.7999999961</v>
      </c>
    </row>
    <row r="19" spans="1:13" ht="21" customHeight="1" x14ac:dyDescent="0.25">
      <c r="A19" s="228"/>
      <c r="B19" s="252"/>
      <c r="C19" s="267" t="s">
        <v>40</v>
      </c>
      <c r="D19" s="253"/>
      <c r="E19" s="268"/>
      <c r="F19" s="269">
        <v>0</v>
      </c>
      <c r="G19" s="269">
        <v>0</v>
      </c>
      <c r="H19" s="256">
        <f>+F19-G19</f>
        <v>0</v>
      </c>
      <c r="I19" s="269">
        <v>0</v>
      </c>
      <c r="J19" s="256">
        <f>+F19-I19</f>
        <v>0</v>
      </c>
    </row>
    <row r="20" spans="1:13" ht="21" customHeight="1" x14ac:dyDescent="0.25">
      <c r="A20" s="228"/>
      <c r="B20" s="252"/>
      <c r="C20" s="253"/>
      <c r="D20" s="253"/>
      <c r="E20" s="249"/>
      <c r="F20" s="270"/>
      <c r="G20" s="270"/>
      <c r="H20" s="271"/>
      <c r="I20" s="270"/>
      <c r="J20" s="271"/>
      <c r="M20" s="229">
        <f>348+18+18+21</f>
        <v>405</v>
      </c>
    </row>
    <row r="21" spans="1:13" ht="21" customHeight="1" x14ac:dyDescent="0.3">
      <c r="A21" s="228"/>
      <c r="B21" s="261" t="s">
        <v>41</v>
      </c>
      <c r="C21" s="248"/>
      <c r="D21" s="248"/>
      <c r="E21" s="258"/>
      <c r="F21" s="272">
        <f>+F22+F42</f>
        <v>15771826.829999983</v>
      </c>
      <c r="G21" s="272">
        <f>+G22+G42</f>
        <v>15916274.930000007</v>
      </c>
      <c r="H21" s="272">
        <f>+H22+H42</f>
        <v>-144448.09999998263</v>
      </c>
      <c r="I21" s="272">
        <f>+I22+I42</f>
        <v>24894724.620000005</v>
      </c>
      <c r="J21" s="272">
        <f>+J22+J42</f>
        <v>-9122897.7899999935</v>
      </c>
    </row>
    <row r="22" spans="1:13" ht="21" customHeight="1" x14ac:dyDescent="0.3">
      <c r="A22" s="228"/>
      <c r="B22" s="273" t="s">
        <v>124</v>
      </c>
      <c r="C22" s="274"/>
      <c r="D22" s="275"/>
      <c r="E22" s="276"/>
      <c r="F22" s="277">
        <f>+F37+F33+F28+F23</f>
        <v>434938662.02999997</v>
      </c>
      <c r="G22" s="277">
        <f>+G37+G33+G28+G23</f>
        <v>435068532.94</v>
      </c>
      <c r="H22" s="277">
        <f>+H37+H33+H28+H23</f>
        <v>-129870.90999998502</v>
      </c>
      <c r="I22" s="277">
        <f>+I37+I33+I28+I23</f>
        <v>439286572.24000001</v>
      </c>
      <c r="J22" s="277">
        <f>+J37+J33+J28+J23</f>
        <v>-4347910.2100000102</v>
      </c>
    </row>
    <row r="23" spans="1:13" ht="21" customHeight="1" x14ac:dyDescent="0.3">
      <c r="A23" s="228"/>
      <c r="B23" s="246"/>
      <c r="C23" s="278" t="s">
        <v>42</v>
      </c>
      <c r="D23" s="260"/>
      <c r="E23" s="279"/>
      <c r="F23" s="280">
        <f>SUM(F24:F27)</f>
        <v>134948664.23000002</v>
      </c>
      <c r="G23" s="280">
        <f>SUM(G24:G27)</f>
        <v>134981569.07999998</v>
      </c>
      <c r="H23" s="280">
        <f>SUM(H24:H27)</f>
        <v>-32904.849999990314</v>
      </c>
      <c r="I23" s="280">
        <f>SUM(I24:I27)</f>
        <v>136005125.44</v>
      </c>
      <c r="J23" s="280">
        <f>SUM(J24:J27)</f>
        <v>-1056461.2100000009</v>
      </c>
    </row>
    <row r="24" spans="1:13" ht="21" customHeight="1" x14ac:dyDescent="0.25">
      <c r="A24" s="228"/>
      <c r="B24" s="252"/>
      <c r="C24" s="253"/>
      <c r="D24" s="264" t="s">
        <v>43</v>
      </c>
      <c r="E24" s="264"/>
      <c r="F24" s="251">
        <v>78736382.420000002</v>
      </c>
      <c r="G24" s="251">
        <v>78757959.599999994</v>
      </c>
      <c r="H24" s="251">
        <f>+F24-G24</f>
        <v>-21577.179999992251</v>
      </c>
      <c r="I24" s="251">
        <v>78855737</v>
      </c>
      <c r="J24" s="251">
        <f>+F24-I24</f>
        <v>-119354.57999999821</v>
      </c>
    </row>
    <row r="25" spans="1:13" ht="21" customHeight="1" x14ac:dyDescent="0.25">
      <c r="A25" s="228"/>
      <c r="B25" s="252"/>
      <c r="C25" s="253"/>
      <c r="D25" s="264" t="s">
        <v>44</v>
      </c>
      <c r="E25" s="264"/>
      <c r="F25" s="250">
        <v>27098932.57</v>
      </c>
      <c r="G25" s="250">
        <v>27110740.989999998</v>
      </c>
      <c r="H25" s="281">
        <f>+F25-G25</f>
        <v>-11808.419999998063</v>
      </c>
      <c r="I25" s="250">
        <v>27734259.550000001</v>
      </c>
      <c r="J25" s="281">
        <f>+F25-I25</f>
        <v>-635326.98000000045</v>
      </c>
    </row>
    <row r="26" spans="1:13" ht="21" customHeight="1" x14ac:dyDescent="0.25">
      <c r="A26" s="228"/>
      <c r="B26" s="252"/>
      <c r="C26" s="253"/>
      <c r="D26" s="264" t="s">
        <v>136</v>
      </c>
      <c r="E26" s="264"/>
      <c r="F26" s="282">
        <v>29113349.239999998</v>
      </c>
      <c r="G26" s="282">
        <v>29112868.489999998</v>
      </c>
      <c r="H26" s="282">
        <f>+F26-G26</f>
        <v>480.75</v>
      </c>
      <c r="I26" s="282">
        <v>29415128.890000001</v>
      </c>
      <c r="J26" s="282">
        <f>+F26-I26</f>
        <v>-301779.65000000224</v>
      </c>
    </row>
    <row r="27" spans="1:13" ht="21.75" hidden="1" customHeight="1" x14ac:dyDescent="0.25">
      <c r="A27" s="228"/>
      <c r="B27" s="252"/>
      <c r="C27" s="253"/>
      <c r="D27" s="264" t="s">
        <v>135</v>
      </c>
      <c r="E27" s="264"/>
      <c r="F27" s="283">
        <v>0</v>
      </c>
      <c r="G27" s="283">
        <v>0</v>
      </c>
      <c r="H27" s="284">
        <f>+F27-G27</f>
        <v>0</v>
      </c>
      <c r="I27" s="283">
        <v>0</v>
      </c>
      <c r="J27" s="284">
        <f>+F27-I27</f>
        <v>0</v>
      </c>
    </row>
    <row r="28" spans="1:13" ht="21" customHeight="1" x14ac:dyDescent="0.3">
      <c r="A28" s="228"/>
      <c r="B28" s="252"/>
      <c r="C28" s="260" t="s">
        <v>45</v>
      </c>
      <c r="D28" s="260"/>
      <c r="E28" s="279"/>
      <c r="F28" s="280">
        <f>SUM(F29:F32)</f>
        <v>208650562.82999998</v>
      </c>
      <c r="G28" s="280">
        <f>SUM(G29:G32)</f>
        <v>208653850.28999999</v>
      </c>
      <c r="H28" s="280">
        <f>SUM(H29:H32)</f>
        <v>-3287.4599999934435</v>
      </c>
      <c r="I28" s="280">
        <f>SUM(I29:I32)</f>
        <v>209991083.01999998</v>
      </c>
      <c r="J28" s="280">
        <f>SUM(J29:J32)</f>
        <v>-1340520.1900000051</v>
      </c>
    </row>
    <row r="29" spans="1:13" ht="21" customHeight="1" x14ac:dyDescent="0.25">
      <c r="A29" s="228"/>
      <c r="B29" s="252"/>
      <c r="C29" s="253"/>
      <c r="D29" s="264" t="s">
        <v>46</v>
      </c>
      <c r="E29" s="264"/>
      <c r="F29" s="282">
        <v>69528477.450000003</v>
      </c>
      <c r="G29" s="282">
        <v>69531656.409999996</v>
      </c>
      <c r="H29" s="285">
        <f>+F29-G29</f>
        <v>-3178.9599999934435</v>
      </c>
      <c r="I29" s="282">
        <v>70094610.430000007</v>
      </c>
      <c r="J29" s="285">
        <f>+F29-I29</f>
        <v>-566132.98000000417</v>
      </c>
    </row>
    <row r="30" spans="1:13" ht="21" customHeight="1" x14ac:dyDescent="0.25">
      <c r="A30" s="228"/>
      <c r="B30" s="252"/>
      <c r="C30" s="253"/>
      <c r="D30" s="264" t="s">
        <v>47</v>
      </c>
      <c r="E30" s="264"/>
      <c r="F30" s="250">
        <v>96854997.560000002</v>
      </c>
      <c r="G30" s="250">
        <v>96854825.75</v>
      </c>
      <c r="H30" s="286">
        <f>+F30-G30</f>
        <v>171.81000000238419</v>
      </c>
      <c r="I30" s="250">
        <v>97630498.510000005</v>
      </c>
      <c r="J30" s="286">
        <f>+F30-I30</f>
        <v>-775500.95000000298</v>
      </c>
    </row>
    <row r="31" spans="1:13" ht="20.25" customHeight="1" x14ac:dyDescent="0.25">
      <c r="A31" s="228"/>
      <c r="B31" s="252"/>
      <c r="C31" s="253"/>
      <c r="D31" s="287" t="s">
        <v>134</v>
      </c>
      <c r="E31" s="264"/>
      <c r="F31" s="282">
        <v>42267087.82</v>
      </c>
      <c r="G31" s="282">
        <v>42267368.130000003</v>
      </c>
      <c r="H31" s="281">
        <f>+F31-G31</f>
        <v>-280.31000000238419</v>
      </c>
      <c r="I31" s="282">
        <v>42265974.079999998</v>
      </c>
      <c r="J31" s="286">
        <f>+F31-I31</f>
        <v>1113.7400000020862</v>
      </c>
    </row>
    <row r="32" spans="1:13" ht="15.75" hidden="1" customHeight="1" x14ac:dyDescent="0.25">
      <c r="A32" s="228"/>
      <c r="B32" s="252"/>
      <c r="C32" s="253"/>
      <c r="D32" s="264" t="s">
        <v>135</v>
      </c>
      <c r="E32" s="264"/>
      <c r="F32" s="288">
        <v>0</v>
      </c>
      <c r="G32" s="288">
        <v>0</v>
      </c>
      <c r="H32" s="289">
        <f>+F32-G32</f>
        <v>0</v>
      </c>
      <c r="I32" s="288">
        <v>0</v>
      </c>
      <c r="J32" s="289">
        <f>+F32-I32</f>
        <v>0</v>
      </c>
    </row>
    <row r="33" spans="1:10" ht="21" customHeight="1" x14ac:dyDescent="0.3">
      <c r="A33" s="228"/>
      <c r="B33" s="252"/>
      <c r="C33" s="278" t="s">
        <v>48</v>
      </c>
      <c r="D33" s="278"/>
      <c r="E33" s="290"/>
      <c r="F33" s="277">
        <f>SUM(F34:F36)</f>
        <v>39396.94</v>
      </c>
      <c r="G33" s="277">
        <f>SUM(G34:G36)</f>
        <v>39396.94</v>
      </c>
      <c r="H33" s="280">
        <f>SUM(H34:H36)</f>
        <v>0</v>
      </c>
      <c r="I33" s="277">
        <f>SUM(I34:I36)</f>
        <v>449373.37</v>
      </c>
      <c r="J33" s="280">
        <f>SUM(J34:J36)</f>
        <v>-409976.43</v>
      </c>
    </row>
    <row r="34" spans="1:10" ht="21" customHeight="1" x14ac:dyDescent="0.25">
      <c r="A34" s="228"/>
      <c r="B34" s="252"/>
      <c r="C34" s="253"/>
      <c r="D34" s="264" t="s">
        <v>49</v>
      </c>
      <c r="E34" s="264"/>
      <c r="F34" s="251">
        <v>39396.94</v>
      </c>
      <c r="G34" s="251">
        <v>39396.94</v>
      </c>
      <c r="H34" s="251">
        <f>+F34-G34</f>
        <v>0</v>
      </c>
      <c r="I34" s="251">
        <v>449373.37</v>
      </c>
      <c r="J34" s="251">
        <f>+F34-I34</f>
        <v>-409976.43</v>
      </c>
    </row>
    <row r="35" spans="1:10" ht="21" hidden="1" customHeight="1" x14ac:dyDescent="0.25">
      <c r="A35" s="228"/>
      <c r="B35" s="252"/>
      <c r="C35" s="253"/>
      <c r="D35" s="264" t="s">
        <v>50</v>
      </c>
      <c r="E35" s="264"/>
      <c r="F35" s="250">
        <v>0</v>
      </c>
      <c r="G35" s="250">
        <v>0</v>
      </c>
      <c r="H35" s="251">
        <f>+F35-G35</f>
        <v>0</v>
      </c>
      <c r="I35" s="250">
        <v>0</v>
      </c>
      <c r="J35" s="251">
        <f>+F35-I35</f>
        <v>0</v>
      </c>
    </row>
    <row r="36" spans="1:10" ht="21" hidden="1" customHeight="1" x14ac:dyDescent="0.25">
      <c r="A36" s="228"/>
      <c r="B36" s="252"/>
      <c r="C36" s="253"/>
      <c r="D36" s="264" t="s">
        <v>51</v>
      </c>
      <c r="E36" s="264"/>
      <c r="F36" s="255">
        <v>0</v>
      </c>
      <c r="G36" s="255">
        <v>0</v>
      </c>
      <c r="H36" s="291">
        <f>+F36-G36</f>
        <v>0</v>
      </c>
      <c r="I36" s="255">
        <v>0</v>
      </c>
      <c r="J36" s="291">
        <f>+F36-I36</f>
        <v>0</v>
      </c>
    </row>
    <row r="37" spans="1:10" ht="21" customHeight="1" x14ac:dyDescent="0.3">
      <c r="A37" s="228"/>
      <c r="B37" s="252"/>
      <c r="C37" s="278" t="s">
        <v>52</v>
      </c>
      <c r="D37" s="260"/>
      <c r="E37" s="249"/>
      <c r="F37" s="277">
        <f>SUM(F38:F41)</f>
        <v>91300038.029999986</v>
      </c>
      <c r="G37" s="277">
        <f>SUM(G38:G41)</f>
        <v>91393716.629999995</v>
      </c>
      <c r="H37" s="277">
        <f>SUM(H38:H41)</f>
        <v>-93678.600000001257</v>
      </c>
      <c r="I37" s="277">
        <f>SUM(I38:I41)</f>
        <v>92840990.410000011</v>
      </c>
      <c r="J37" s="277">
        <f>SUM(J38:J41)</f>
        <v>-1540952.3800000038</v>
      </c>
    </row>
    <row r="38" spans="1:10" ht="21" customHeight="1" x14ac:dyDescent="0.25">
      <c r="A38" s="228"/>
      <c r="B38" s="252"/>
      <c r="C38" s="253"/>
      <c r="D38" s="264" t="s">
        <v>53</v>
      </c>
      <c r="E38" s="264"/>
      <c r="F38" s="251">
        <v>65503096.899999999</v>
      </c>
      <c r="G38" s="251">
        <v>65585690.469999999</v>
      </c>
      <c r="H38" s="251">
        <f>+F38-G38</f>
        <v>-82593.570000000298</v>
      </c>
      <c r="I38" s="251">
        <f>59110142.89-I41</f>
        <v>66855774.990000002</v>
      </c>
      <c r="J38" s="251">
        <f>+F38-I38</f>
        <v>-1352678.0900000036</v>
      </c>
    </row>
    <row r="39" spans="1:10" ht="21" customHeight="1" x14ac:dyDescent="0.25">
      <c r="A39" s="228"/>
      <c r="B39" s="252"/>
      <c r="C39" s="253"/>
      <c r="D39" s="264" t="s">
        <v>54</v>
      </c>
      <c r="E39" s="264"/>
      <c r="F39" s="251">
        <v>32211899.48</v>
      </c>
      <c r="G39" s="251">
        <v>32227760.440000001</v>
      </c>
      <c r="H39" s="251">
        <f>+F39-G39</f>
        <v>-15860.960000000894</v>
      </c>
      <c r="I39" s="251">
        <v>32561138.07</v>
      </c>
      <c r="J39" s="251">
        <f>+F39-I39</f>
        <v>-349238.58999999985</v>
      </c>
    </row>
    <row r="40" spans="1:10" ht="21" customHeight="1" x14ac:dyDescent="0.25">
      <c r="A40" s="228"/>
      <c r="B40" s="252"/>
      <c r="C40" s="253"/>
      <c r="D40" s="264" t="s">
        <v>137</v>
      </c>
      <c r="E40" s="264"/>
      <c r="F40" s="251">
        <v>1251146.19</v>
      </c>
      <c r="G40" s="251">
        <v>1246251.26</v>
      </c>
      <c r="H40" s="251">
        <f>+F40-G40</f>
        <v>4894.9299999999348</v>
      </c>
      <c r="I40" s="251">
        <v>1169709.45</v>
      </c>
      <c r="J40" s="251">
        <f>+F40-I40</f>
        <v>81436.739999999991</v>
      </c>
    </row>
    <row r="41" spans="1:10" ht="21" customHeight="1" x14ac:dyDescent="0.25">
      <c r="A41" s="228"/>
      <c r="B41" s="252"/>
      <c r="C41" s="253"/>
      <c r="D41" s="264" t="s">
        <v>135</v>
      </c>
      <c r="E41" s="264"/>
      <c r="F41" s="255">
        <v>-7666104.54</v>
      </c>
      <c r="G41" s="255">
        <v>-7665985.54</v>
      </c>
      <c r="H41" s="291">
        <f>+F41-G41</f>
        <v>-119</v>
      </c>
      <c r="I41" s="255">
        <f>-15838.55-7729793.55</f>
        <v>-7745632.0999999996</v>
      </c>
      <c r="J41" s="291">
        <f>+F41-I41</f>
        <v>79527.55999999959</v>
      </c>
    </row>
    <row r="42" spans="1:10" ht="21" customHeight="1" x14ac:dyDescent="0.3">
      <c r="A42" s="228"/>
      <c r="B42" s="273" t="s">
        <v>125</v>
      </c>
      <c r="C42" s="260"/>
      <c r="D42" s="253"/>
      <c r="E42" s="292"/>
      <c r="F42" s="277">
        <v>-419166835.19999999</v>
      </c>
      <c r="G42" s="277">
        <f>-419148840.49-3451.56-17.27+51.31</f>
        <v>-419152258.00999999</v>
      </c>
      <c r="H42" s="277">
        <f>+F42-G42</f>
        <v>-14577.189999997616</v>
      </c>
      <c r="I42" s="277">
        <v>-414391847.62</v>
      </c>
      <c r="J42" s="277">
        <f>+F42-I42</f>
        <v>-4774987.5799999833</v>
      </c>
    </row>
    <row r="43" spans="1:10" ht="21" customHeight="1" x14ac:dyDescent="0.25">
      <c r="A43" s="228"/>
      <c r="B43" s="252"/>
      <c r="C43" s="257"/>
      <c r="D43" s="257"/>
      <c r="E43" s="249"/>
      <c r="F43" s="270"/>
      <c r="G43" s="270"/>
      <c r="H43" s="271"/>
      <c r="I43" s="270"/>
      <c r="J43" s="271"/>
    </row>
    <row r="44" spans="1:10" ht="21" customHeight="1" x14ac:dyDescent="0.3">
      <c r="A44" s="228"/>
      <c r="B44" s="261" t="s">
        <v>55</v>
      </c>
      <c r="C44" s="275"/>
      <c r="D44" s="248"/>
      <c r="E44" s="258"/>
      <c r="F44" s="293">
        <f>+F47+F48</f>
        <v>15448168.799999999</v>
      </c>
      <c r="G44" s="293">
        <f>+G47+G48</f>
        <v>14926881.59</v>
      </c>
      <c r="H44" s="293">
        <f>+H47+H48</f>
        <v>521287.20999999996</v>
      </c>
      <c r="I44" s="293">
        <f>+I47+I48</f>
        <v>18609219.540000003</v>
      </c>
      <c r="J44" s="293">
        <f>+J47+J48</f>
        <v>-3161050.740000003</v>
      </c>
    </row>
    <row r="45" spans="1:10" ht="21" customHeight="1" x14ac:dyDescent="0.25">
      <c r="A45" s="228"/>
      <c r="B45" s="252"/>
      <c r="C45" s="264" t="s">
        <v>56</v>
      </c>
      <c r="D45" s="253"/>
      <c r="E45" s="264"/>
      <c r="F45" s="250">
        <v>6867855.0899999999</v>
      </c>
      <c r="G45" s="250">
        <v>6867855.0800000001</v>
      </c>
      <c r="H45" s="251">
        <f>+F45-G45</f>
        <v>9.9999997764825821E-3</v>
      </c>
      <c r="I45" s="250">
        <v>7628355.2800000003</v>
      </c>
      <c r="J45" s="251">
        <f>+F45-I45</f>
        <v>-760500.19000000041</v>
      </c>
    </row>
    <row r="46" spans="1:10" ht="21" customHeight="1" x14ac:dyDescent="0.25">
      <c r="A46" s="228"/>
      <c r="B46" s="252"/>
      <c r="C46" s="264" t="s">
        <v>57</v>
      </c>
      <c r="D46" s="253"/>
      <c r="E46" s="264"/>
      <c r="F46" s="250">
        <v>17088556.43</v>
      </c>
      <c r="G46" s="250">
        <v>15898823.710000001</v>
      </c>
      <c r="H46" s="251">
        <f>+F46-G46</f>
        <v>1189732.7199999988</v>
      </c>
      <c r="I46" s="250">
        <v>17682117.190000001</v>
      </c>
      <c r="J46" s="251">
        <f>+F46-I46</f>
        <v>-593560.76000000164</v>
      </c>
    </row>
    <row r="47" spans="1:10" ht="21" customHeight="1" x14ac:dyDescent="0.25">
      <c r="A47" s="228"/>
      <c r="B47" s="252"/>
      <c r="C47" s="264" t="s">
        <v>39</v>
      </c>
      <c r="D47" s="253"/>
      <c r="E47" s="264"/>
      <c r="F47" s="266">
        <f>SUM(F45:F46)</f>
        <v>23956411.52</v>
      </c>
      <c r="G47" s="266">
        <f>SUM(G45:G46)</f>
        <v>22766678.789999999</v>
      </c>
      <c r="H47" s="266">
        <f>+F47-G47</f>
        <v>1189732.7300000004</v>
      </c>
      <c r="I47" s="266">
        <f>SUM(I45:I46)</f>
        <v>25310472.470000003</v>
      </c>
      <c r="J47" s="266">
        <f>SUM(J45:J46)</f>
        <v>-1354060.950000002</v>
      </c>
    </row>
    <row r="48" spans="1:10" ht="21" customHeight="1" x14ac:dyDescent="0.25">
      <c r="A48" s="228"/>
      <c r="B48" s="252"/>
      <c r="C48" s="264" t="s">
        <v>58</v>
      </c>
      <c r="D48" s="253"/>
      <c r="E48" s="264"/>
      <c r="F48" s="269">
        <v>-8508242.7200000007</v>
      </c>
      <c r="G48" s="269">
        <v>-7839797.2000000002</v>
      </c>
      <c r="H48" s="294">
        <f>+F48-G48</f>
        <v>-668445.52000000048</v>
      </c>
      <c r="I48" s="269">
        <v>-6701252.9299999997</v>
      </c>
      <c r="J48" s="294">
        <f>+F48-I48</f>
        <v>-1806989.790000001</v>
      </c>
    </row>
    <row r="49" spans="1:12" ht="21" customHeight="1" x14ac:dyDescent="0.25">
      <c r="A49" s="228"/>
      <c r="B49" s="252"/>
      <c r="C49" s="257"/>
      <c r="D49" s="257"/>
      <c r="E49" s="249"/>
      <c r="F49" s="270"/>
      <c r="G49" s="270"/>
      <c r="H49" s="271"/>
      <c r="I49" s="270"/>
      <c r="J49" s="271"/>
    </row>
    <row r="50" spans="1:12" ht="21" customHeight="1" x14ac:dyDescent="0.3">
      <c r="A50" s="228"/>
      <c r="B50" s="261" t="s">
        <v>13</v>
      </c>
      <c r="C50" s="275"/>
      <c r="D50" s="248"/>
      <c r="E50" s="258"/>
      <c r="F50" s="293">
        <f>SUM(F51:F55)</f>
        <v>1280865.49</v>
      </c>
      <c r="G50" s="293">
        <f>SUM(G51:G55)</f>
        <v>1275602.51</v>
      </c>
      <c r="H50" s="293">
        <f>SUM(H51:H55)</f>
        <v>5262.9799999999541</v>
      </c>
      <c r="I50" s="293">
        <f>SUM(I51:I55)</f>
        <v>986225.64999999991</v>
      </c>
      <c r="J50" s="293">
        <f>SUM(J51:J54)</f>
        <v>294639.83999999997</v>
      </c>
    </row>
    <row r="51" spans="1:12" ht="21" customHeight="1" x14ac:dyDescent="0.25">
      <c r="A51" s="228"/>
      <c r="B51" s="295"/>
      <c r="C51" s="264" t="s">
        <v>59</v>
      </c>
      <c r="D51" s="267"/>
      <c r="E51" s="264"/>
      <c r="F51" s="250">
        <v>28818.69</v>
      </c>
      <c r="G51" s="250">
        <v>35131.31</v>
      </c>
      <c r="H51" s="251">
        <f>+F51-G51</f>
        <v>-6312.619999999999</v>
      </c>
      <c r="I51" s="250">
        <v>18245.47</v>
      </c>
      <c r="J51" s="251">
        <f>+F51-I51</f>
        <v>10573.219999999998</v>
      </c>
    </row>
    <row r="52" spans="1:12" ht="21" customHeight="1" x14ac:dyDescent="0.25">
      <c r="A52" s="228"/>
      <c r="B52" s="295"/>
      <c r="C52" s="264" t="s">
        <v>60</v>
      </c>
      <c r="D52" s="267"/>
      <c r="E52" s="264"/>
      <c r="F52" s="250">
        <v>38.340000000000003</v>
      </c>
      <c r="G52" s="250">
        <v>511.44</v>
      </c>
      <c r="H52" s="251">
        <f>+F52-G52</f>
        <v>-473.1</v>
      </c>
      <c r="I52" s="250">
        <v>153.36000000000001</v>
      </c>
      <c r="J52" s="251">
        <f>+F52-I52</f>
        <v>-115.02000000000001</v>
      </c>
      <c r="L52" s="296"/>
    </row>
    <row r="53" spans="1:12" ht="21" customHeight="1" x14ac:dyDescent="0.25">
      <c r="A53" s="228"/>
      <c r="B53" s="295"/>
      <c r="C53" s="264" t="s">
        <v>61</v>
      </c>
      <c r="D53" s="267"/>
      <c r="E53" s="264"/>
      <c r="F53" s="250">
        <v>1235209.69</v>
      </c>
      <c r="G53" s="250">
        <v>1223160.99</v>
      </c>
      <c r="H53" s="251">
        <f>+F53-G53</f>
        <v>12048.699999999953</v>
      </c>
      <c r="I53" s="250">
        <v>951311.6</v>
      </c>
      <c r="J53" s="251">
        <f>+F53-I53</f>
        <v>283898.08999999997</v>
      </c>
    </row>
    <row r="54" spans="1:12" ht="21" customHeight="1" x14ac:dyDescent="0.25">
      <c r="A54" s="228"/>
      <c r="B54" s="295"/>
      <c r="C54" s="264" t="s">
        <v>62</v>
      </c>
      <c r="D54" s="267"/>
      <c r="E54" s="264"/>
      <c r="F54" s="250">
        <v>15210.2</v>
      </c>
      <c r="G54" s="250">
        <v>15210.2</v>
      </c>
      <c r="H54" s="251">
        <f>+F54-G54</f>
        <v>0</v>
      </c>
      <c r="I54" s="250">
        <v>14926.65</v>
      </c>
      <c r="J54" s="251">
        <f>+F54-I54</f>
        <v>283.55000000000109</v>
      </c>
    </row>
    <row r="55" spans="1:12" ht="21" customHeight="1" x14ac:dyDescent="0.25">
      <c r="A55" s="228"/>
      <c r="B55" s="295"/>
      <c r="C55" s="264" t="s">
        <v>63</v>
      </c>
      <c r="D55" s="267"/>
      <c r="E55" s="264"/>
      <c r="F55" s="254">
        <v>1588.57</v>
      </c>
      <c r="G55" s="254">
        <v>1588.57</v>
      </c>
      <c r="H55" s="256">
        <f>+F55-G55</f>
        <v>0</v>
      </c>
      <c r="I55" s="254">
        <v>1588.57</v>
      </c>
      <c r="J55" s="256">
        <f>+F55-I55</f>
        <v>0</v>
      </c>
    </row>
    <row r="56" spans="1:12" ht="21" customHeight="1" x14ac:dyDescent="0.25">
      <c r="A56" s="228"/>
      <c r="B56" s="295"/>
      <c r="C56" s="248"/>
      <c r="D56" s="248"/>
      <c r="E56" s="258"/>
      <c r="F56" s="297"/>
      <c r="G56" s="297"/>
      <c r="H56" s="298"/>
      <c r="I56" s="297"/>
      <c r="J56" s="298"/>
    </row>
    <row r="57" spans="1:12" ht="21" customHeight="1" x14ac:dyDescent="0.3">
      <c r="A57" s="228"/>
      <c r="B57" s="261" t="s">
        <v>64</v>
      </c>
      <c r="C57" s="275"/>
      <c r="D57" s="248"/>
      <c r="E57" s="258"/>
      <c r="F57" s="293">
        <f>+F58+F59</f>
        <v>99521.25</v>
      </c>
      <c r="G57" s="293">
        <f>+G58+G59</f>
        <v>58163.700000000012</v>
      </c>
      <c r="H57" s="293">
        <f>+F57-G57</f>
        <v>41357.549999999988</v>
      </c>
      <c r="I57" s="293">
        <f>+I58+I59</f>
        <v>56411.040000000037</v>
      </c>
      <c r="J57" s="293">
        <f>+J58+J59</f>
        <v>43110.209999999963</v>
      </c>
    </row>
    <row r="58" spans="1:12" ht="21" customHeight="1" x14ac:dyDescent="0.25">
      <c r="A58" s="228"/>
      <c r="B58" s="246"/>
      <c r="C58" s="299" t="s">
        <v>65</v>
      </c>
      <c r="D58" s="267"/>
      <c r="E58" s="299"/>
      <c r="F58" s="285">
        <v>478190.42</v>
      </c>
      <c r="G58" s="285">
        <v>430754.61</v>
      </c>
      <c r="H58" s="285">
        <f>+F58-G58</f>
        <v>47435.81</v>
      </c>
      <c r="I58" s="285">
        <v>410664.02</v>
      </c>
      <c r="J58" s="285">
        <f>+F58-I58</f>
        <v>67526.399999999965</v>
      </c>
    </row>
    <row r="59" spans="1:12" ht="21" customHeight="1" x14ac:dyDescent="0.25">
      <c r="A59" s="228"/>
      <c r="B59" s="300"/>
      <c r="C59" s="301" t="s">
        <v>66</v>
      </c>
      <c r="D59" s="302"/>
      <c r="E59" s="301"/>
      <c r="F59" s="283">
        <v>-378669.17</v>
      </c>
      <c r="G59" s="283">
        <v>-372590.91</v>
      </c>
      <c r="H59" s="283">
        <f>+F59-G59</f>
        <v>-6078.2600000000093</v>
      </c>
      <c r="I59" s="283">
        <v>-354252.98</v>
      </c>
      <c r="J59" s="283">
        <f>+F59-I59</f>
        <v>-24416.190000000002</v>
      </c>
    </row>
    <row r="60" spans="1:12" ht="21" customHeight="1" thickBot="1" x14ac:dyDescent="0.35">
      <c r="A60" s="228"/>
      <c r="B60" s="303" t="s">
        <v>67</v>
      </c>
      <c r="C60" s="303"/>
      <c r="D60" s="304"/>
      <c r="E60" s="305"/>
      <c r="F60" s="306">
        <f>+F7+F13+F21+F44+F50+F57</f>
        <v>83746933.079999983</v>
      </c>
      <c r="G60" s="306">
        <f>+G7+G13+G21+G44+G50+G57</f>
        <v>83494653.270000011</v>
      </c>
      <c r="H60" s="307">
        <f>+H7+H13+H21+H44+H50+H57</f>
        <v>252279.81000001743</v>
      </c>
      <c r="I60" s="306">
        <f>+I7+I13+I21+I44+I50+I57</f>
        <v>88645499.870000035</v>
      </c>
      <c r="J60" s="307">
        <f>+J7+J13+J21+J44+J50+J57</f>
        <v>-4898566.790000001</v>
      </c>
    </row>
    <row r="61" spans="1:12" ht="15.75" x14ac:dyDescent="0.25">
      <c r="A61" s="228"/>
      <c r="B61" s="308"/>
      <c r="C61" s="308"/>
      <c r="D61" s="308"/>
      <c r="E61" s="309"/>
      <c r="F61" s="310"/>
      <c r="G61" s="310"/>
      <c r="H61" s="310"/>
      <c r="I61" s="310"/>
    </row>
    <row r="62" spans="1:12" ht="16.5" customHeight="1" x14ac:dyDescent="0.25">
      <c r="A62" s="228"/>
      <c r="B62" s="380"/>
      <c r="C62" s="380"/>
      <c r="D62" s="380"/>
      <c r="E62" s="380"/>
      <c r="F62" s="380"/>
      <c r="G62" s="380"/>
      <c r="H62" s="380"/>
      <c r="I62" s="380"/>
      <c r="J62" s="380"/>
    </row>
    <row r="63" spans="1:12" ht="31.5" x14ac:dyDescent="0.25">
      <c r="A63" s="228"/>
      <c r="B63" s="311"/>
      <c r="C63" s="312"/>
      <c r="D63" s="312"/>
      <c r="E63" s="313"/>
      <c r="F63" s="234" t="s">
        <v>208</v>
      </c>
      <c r="G63" s="234" t="s">
        <v>204</v>
      </c>
      <c r="H63" s="235" t="s">
        <v>211</v>
      </c>
      <c r="I63" s="234" t="s">
        <v>138</v>
      </c>
      <c r="J63" s="235" t="s">
        <v>123</v>
      </c>
    </row>
    <row r="64" spans="1:12" ht="15.75" x14ac:dyDescent="0.25">
      <c r="A64" s="228"/>
      <c r="B64" s="314" t="s">
        <v>68</v>
      </c>
      <c r="C64" s="315"/>
      <c r="D64" s="315"/>
      <c r="E64" s="316"/>
      <c r="F64" s="317" t="s">
        <v>29</v>
      </c>
      <c r="G64" s="240">
        <v>-2</v>
      </c>
      <c r="H64" s="318" t="s">
        <v>30</v>
      </c>
      <c r="I64" s="240">
        <v>-2</v>
      </c>
      <c r="J64" s="241" t="s">
        <v>30</v>
      </c>
    </row>
    <row r="65" spans="1:10" ht="21" customHeight="1" x14ac:dyDescent="0.3">
      <c r="A65" s="228"/>
      <c r="B65" s="319" t="s">
        <v>69</v>
      </c>
      <c r="C65" s="248"/>
      <c r="D65" s="248"/>
      <c r="E65" s="320"/>
      <c r="F65" s="262">
        <f>SUM(F66:F69)</f>
        <v>793499.3600000001</v>
      </c>
      <c r="G65" s="262">
        <f>SUM(G66:G69)</f>
        <v>799117.76</v>
      </c>
      <c r="H65" s="262">
        <f>F65-G65</f>
        <v>-5618.3999999999069</v>
      </c>
      <c r="I65" s="262">
        <f>SUM(I66:I69)</f>
        <v>739663.96</v>
      </c>
      <c r="J65" s="262">
        <f>SUM(J66:J69)</f>
        <v>53835.400000000009</v>
      </c>
    </row>
    <row r="66" spans="1:10" ht="21" customHeight="1" x14ac:dyDescent="0.25">
      <c r="A66" s="228"/>
      <c r="B66" s="321"/>
      <c r="C66" s="322" t="s">
        <v>70</v>
      </c>
      <c r="D66" s="322"/>
      <c r="E66" s="323"/>
      <c r="F66" s="324">
        <v>484869.7</v>
      </c>
      <c r="G66" s="324">
        <v>503653.62</v>
      </c>
      <c r="H66" s="282">
        <f>+F66-G66</f>
        <v>-18783.919999999984</v>
      </c>
      <c r="I66" s="324">
        <v>492809.5</v>
      </c>
      <c r="J66" s="282">
        <f>+F66-I66</f>
        <v>-7939.7999999999884</v>
      </c>
    </row>
    <row r="67" spans="1:10" ht="21" customHeight="1" x14ac:dyDescent="0.25">
      <c r="A67" s="228"/>
      <c r="B67" s="321"/>
      <c r="C67" s="322" t="s">
        <v>71</v>
      </c>
      <c r="D67" s="267"/>
      <c r="E67" s="323"/>
      <c r="F67" s="324">
        <v>42636.23</v>
      </c>
      <c r="G67" s="324">
        <v>45387.63</v>
      </c>
      <c r="H67" s="282">
        <f>+F67-G67</f>
        <v>-2751.3999999999942</v>
      </c>
      <c r="I67" s="324">
        <v>36618.69</v>
      </c>
      <c r="J67" s="282">
        <f>+F67-I67</f>
        <v>6017.5400000000009</v>
      </c>
    </row>
    <row r="68" spans="1:10" ht="21" customHeight="1" x14ac:dyDescent="0.25">
      <c r="A68" s="228"/>
      <c r="B68" s="321"/>
      <c r="C68" s="322" t="s">
        <v>72</v>
      </c>
      <c r="D68" s="267"/>
      <c r="E68" s="323"/>
      <c r="F68" s="324">
        <f>117988.75+59000</f>
        <v>176988.75</v>
      </c>
      <c r="G68" s="324">
        <v>158179.25</v>
      </c>
      <c r="H68" s="282">
        <f>+F68-G68</f>
        <v>18809.5</v>
      </c>
      <c r="I68" s="324">
        <f>170454.4+2000</f>
        <v>172454.39999999999</v>
      </c>
      <c r="J68" s="282">
        <f>+F68-I68</f>
        <v>4534.3500000000058</v>
      </c>
    </row>
    <row r="69" spans="1:10" ht="21" customHeight="1" x14ac:dyDescent="0.25">
      <c r="A69" s="228"/>
      <c r="B69" s="321"/>
      <c r="C69" s="322" t="s">
        <v>73</v>
      </c>
      <c r="D69" s="267"/>
      <c r="E69" s="323"/>
      <c r="F69" s="288">
        <v>89004.68</v>
      </c>
      <c r="G69" s="288">
        <v>91897.26</v>
      </c>
      <c r="H69" s="283">
        <f>+F69-G69</f>
        <v>-2892.5800000000017</v>
      </c>
      <c r="I69" s="288">
        <v>37781.370000000003</v>
      </c>
      <c r="J69" s="283">
        <f>+F69-I69</f>
        <v>51223.30999999999</v>
      </c>
    </row>
    <row r="70" spans="1:10" ht="21" customHeight="1" x14ac:dyDescent="0.25">
      <c r="A70" s="228"/>
      <c r="B70" s="325"/>
      <c r="C70" s="308"/>
      <c r="D70" s="308"/>
      <c r="E70" s="309"/>
      <c r="F70" s="326"/>
      <c r="G70" s="326"/>
      <c r="H70" s="327"/>
      <c r="I70" s="326"/>
      <c r="J70" s="327"/>
    </row>
    <row r="71" spans="1:10" ht="21" customHeight="1" x14ac:dyDescent="0.3">
      <c r="A71" s="228"/>
      <c r="B71" s="319" t="s">
        <v>74</v>
      </c>
      <c r="C71" s="248"/>
      <c r="D71" s="248"/>
      <c r="E71" s="320"/>
      <c r="F71" s="262">
        <f>SUM(F72:F73)</f>
        <v>114119547.09999999</v>
      </c>
      <c r="G71" s="262">
        <f>SUM(G72:G73)</f>
        <v>114119547.09999999</v>
      </c>
      <c r="H71" s="262">
        <f>SUM(H72:H73)</f>
        <v>0</v>
      </c>
      <c r="I71" s="262">
        <f>SUM(I72:I73)</f>
        <v>114569547.09999999</v>
      </c>
      <c r="J71" s="262">
        <f>SUM(J72:J73)</f>
        <v>-450000</v>
      </c>
    </row>
    <row r="72" spans="1:10" ht="21" customHeight="1" x14ac:dyDescent="0.25">
      <c r="A72" s="228"/>
      <c r="B72" s="328"/>
      <c r="C72" s="322" t="s">
        <v>75</v>
      </c>
      <c r="D72" s="253"/>
      <c r="E72" s="322"/>
      <c r="F72" s="250">
        <v>114119547.09999999</v>
      </c>
      <c r="G72" s="250">
        <v>114119547.09999999</v>
      </c>
      <c r="H72" s="251">
        <f>+F72-G72</f>
        <v>0</v>
      </c>
      <c r="I72" s="250">
        <v>114569547.09999999</v>
      </c>
      <c r="J72" s="251">
        <f>+F72-I72</f>
        <v>-450000</v>
      </c>
    </row>
    <row r="73" spans="1:10" ht="21" hidden="1" customHeight="1" x14ac:dyDescent="0.25">
      <c r="A73" s="228"/>
      <c r="B73" s="328"/>
      <c r="C73" s="322" t="s">
        <v>76</v>
      </c>
      <c r="D73" s="253"/>
      <c r="E73" s="322"/>
      <c r="F73" s="254">
        <v>0</v>
      </c>
      <c r="G73" s="254">
        <v>0</v>
      </c>
      <c r="H73" s="256">
        <f>+F73-G73</f>
        <v>0</v>
      </c>
      <c r="I73" s="254">
        <v>0</v>
      </c>
      <c r="J73" s="256">
        <f>+F73-I73</f>
        <v>0</v>
      </c>
    </row>
    <row r="74" spans="1:10" ht="21" customHeight="1" x14ac:dyDescent="0.25">
      <c r="A74" s="228"/>
      <c r="B74" s="328"/>
      <c r="C74" s="257"/>
      <c r="D74" s="257"/>
      <c r="E74" s="329"/>
      <c r="F74" s="270"/>
      <c r="G74" s="270"/>
      <c r="H74" s="271"/>
      <c r="I74" s="270"/>
      <c r="J74" s="271"/>
    </row>
    <row r="75" spans="1:10" ht="21" customHeight="1" x14ac:dyDescent="0.3">
      <c r="A75" s="228"/>
      <c r="B75" s="319" t="s">
        <v>77</v>
      </c>
      <c r="C75" s="248"/>
      <c r="D75" s="248"/>
      <c r="E75" s="320"/>
      <c r="F75" s="262">
        <f>SUM(F76:F78)</f>
        <v>673495.4</v>
      </c>
      <c r="G75" s="262">
        <f>SUM(G76:G78)</f>
        <v>671989.24</v>
      </c>
      <c r="H75" s="262">
        <f>SUM(H76:H78)</f>
        <v>1506.1600000000144</v>
      </c>
      <c r="I75" s="262">
        <f>SUM(I76:I78)</f>
        <v>819898.22</v>
      </c>
      <c r="J75" s="262">
        <f>SUM(J76:J78)</f>
        <v>-146402.81999999998</v>
      </c>
    </row>
    <row r="76" spans="1:10" ht="21" customHeight="1" x14ac:dyDescent="0.25">
      <c r="A76" s="228"/>
      <c r="B76" s="328"/>
      <c r="C76" s="253" t="s">
        <v>78</v>
      </c>
      <c r="D76" s="253"/>
      <c r="E76" s="228"/>
      <c r="F76" s="250">
        <v>241008.88</v>
      </c>
      <c r="G76" s="250">
        <v>241053.88</v>
      </c>
      <c r="H76" s="251">
        <f>+F76-G76</f>
        <v>-45</v>
      </c>
      <c r="I76" s="250">
        <v>240770.33</v>
      </c>
      <c r="J76" s="251">
        <f>+F76-I76</f>
        <v>238.55000000001746</v>
      </c>
    </row>
    <row r="77" spans="1:10" ht="21" customHeight="1" x14ac:dyDescent="0.25">
      <c r="A77" s="228"/>
      <c r="B77" s="328"/>
      <c r="C77" s="253" t="s">
        <v>77</v>
      </c>
      <c r="D77" s="253"/>
      <c r="E77" s="228"/>
      <c r="F77" s="250">
        <f>664114.28-F76</f>
        <v>423105.4</v>
      </c>
      <c r="G77" s="250">
        <f>671376.39-G76</f>
        <v>430322.51</v>
      </c>
      <c r="H77" s="251">
        <f>+F77-G77</f>
        <v>-7217.109999999986</v>
      </c>
      <c r="I77" s="250">
        <f>814845.99-I76</f>
        <v>574075.66</v>
      </c>
      <c r="J77" s="251">
        <f>+F77-I77</f>
        <v>-150970.26</v>
      </c>
    </row>
    <row r="78" spans="1:10" ht="21" customHeight="1" x14ac:dyDescent="0.25">
      <c r="A78" s="228"/>
      <c r="B78" s="328"/>
      <c r="C78" s="322" t="s">
        <v>79</v>
      </c>
      <c r="D78" s="253"/>
      <c r="E78" s="322"/>
      <c r="F78" s="255">
        <v>9381.1200000000008</v>
      </c>
      <c r="G78" s="255">
        <v>612.85</v>
      </c>
      <c r="H78" s="251">
        <f>+F78-G78</f>
        <v>8768.27</v>
      </c>
      <c r="I78" s="255">
        <v>5052.2299999999996</v>
      </c>
      <c r="J78" s="251">
        <f>+F78-I78</f>
        <v>4328.8900000000012</v>
      </c>
    </row>
    <row r="79" spans="1:10" ht="21" customHeight="1" x14ac:dyDescent="0.3">
      <c r="A79" s="228"/>
      <c r="B79" s="330"/>
      <c r="C79" s="331"/>
      <c r="D79" s="331"/>
      <c r="E79" s="332" t="s">
        <v>80</v>
      </c>
      <c r="F79" s="262">
        <f>F71+F65+F75</f>
        <v>115586541.86</v>
      </c>
      <c r="G79" s="262">
        <f>G71+G65+G75</f>
        <v>115590654.09999999</v>
      </c>
      <c r="H79" s="293">
        <f>H71+H65+H75</f>
        <v>-4112.2399999998925</v>
      </c>
      <c r="I79" s="262">
        <f>I71+I65+I75</f>
        <v>116129109.27999999</v>
      </c>
      <c r="J79" s="293">
        <f>J71+J65+J75</f>
        <v>-542567.41999999993</v>
      </c>
    </row>
    <row r="80" spans="1:10" ht="15.75" x14ac:dyDescent="0.25">
      <c r="A80" s="228"/>
      <c r="B80" s="328"/>
      <c r="C80" s="257"/>
      <c r="D80" s="257"/>
      <c r="E80" s="320"/>
      <c r="F80" s="333"/>
      <c r="G80" s="333"/>
      <c r="H80" s="334"/>
      <c r="I80" s="333"/>
      <c r="J80" s="334"/>
    </row>
    <row r="81" spans="1:10" ht="21" customHeight="1" x14ac:dyDescent="0.25">
      <c r="A81" s="228"/>
      <c r="B81" s="335" t="s">
        <v>21</v>
      </c>
      <c r="C81" s="336"/>
      <c r="D81" s="336"/>
      <c r="E81" s="337"/>
      <c r="F81" s="338"/>
      <c r="G81" s="338"/>
      <c r="H81" s="339"/>
      <c r="I81" s="338"/>
      <c r="J81" s="339"/>
    </row>
    <row r="82" spans="1:10" ht="21" customHeight="1" x14ac:dyDescent="0.3">
      <c r="A82" s="228"/>
      <c r="B82" s="319" t="s">
        <v>22</v>
      </c>
      <c r="C82" s="248"/>
      <c r="D82" s="248"/>
      <c r="E82" s="320"/>
      <c r="F82" s="262">
        <f>+F83+F94+F99</f>
        <v>124683917.73999999</v>
      </c>
      <c r="G82" s="262">
        <f>+G83+G94+G99</f>
        <v>120863227.88000001</v>
      </c>
      <c r="H82" s="340">
        <f>+H83+H94+H99</f>
        <v>3820689.8599999975</v>
      </c>
      <c r="I82" s="262">
        <f>+I83+I94</f>
        <v>122031235.18000001</v>
      </c>
      <c r="J82" s="340">
        <f>+J83+J94+J99</f>
        <v>2652682.5599999973</v>
      </c>
    </row>
    <row r="83" spans="1:10" ht="21" customHeight="1" x14ac:dyDescent="0.3">
      <c r="A83" s="228"/>
      <c r="B83" s="321"/>
      <c r="C83" s="341" t="s">
        <v>81</v>
      </c>
      <c r="D83" s="248"/>
      <c r="E83" s="320"/>
      <c r="F83" s="342">
        <f>SUM(F84:F93)</f>
        <v>76978166.049999997</v>
      </c>
      <c r="G83" s="342">
        <f>SUM(G84:G93)</f>
        <v>74296236.190000013</v>
      </c>
      <c r="H83" s="277">
        <f>SUM(H84:H93)</f>
        <v>2681929.8599999975</v>
      </c>
      <c r="I83" s="342">
        <f>SUM(I84:I93)</f>
        <v>75814247.49000001</v>
      </c>
      <c r="J83" s="277">
        <f>SUM(J84:J93)</f>
        <v>1163918.5599999973</v>
      </c>
    </row>
    <row r="84" spans="1:10" ht="21" customHeight="1" x14ac:dyDescent="0.25">
      <c r="A84" s="228"/>
      <c r="B84" s="328"/>
      <c r="C84" s="257"/>
      <c r="D84" s="322" t="s">
        <v>82</v>
      </c>
      <c r="E84" s="322"/>
      <c r="F84" s="343">
        <v>39549277.619999997</v>
      </c>
      <c r="G84" s="343">
        <v>36865062</v>
      </c>
      <c r="H84" s="282">
        <f>+F84-G84</f>
        <v>2684215.6199999973</v>
      </c>
      <c r="I84" s="343">
        <v>32786365.620000001</v>
      </c>
      <c r="J84" s="282">
        <f>+F84-I84</f>
        <v>6762911.9999999963</v>
      </c>
    </row>
    <row r="85" spans="1:10" ht="21" customHeight="1" x14ac:dyDescent="0.25">
      <c r="A85" s="228"/>
      <c r="B85" s="328"/>
      <c r="C85" s="257"/>
      <c r="D85" s="322" t="s">
        <v>83</v>
      </c>
      <c r="E85" s="322"/>
      <c r="F85" s="343">
        <v>5073990.1500000004</v>
      </c>
      <c r="G85" s="343">
        <v>5073990.1500000004</v>
      </c>
      <c r="H85" s="282">
        <f>+F85-G85</f>
        <v>0</v>
      </c>
      <c r="I85" s="343">
        <v>7630755.1299999999</v>
      </c>
      <c r="J85" s="282">
        <f>+F85-I85</f>
        <v>-2556764.9799999995</v>
      </c>
    </row>
    <row r="86" spans="1:10" ht="21" customHeight="1" x14ac:dyDescent="0.25">
      <c r="A86" s="228"/>
      <c r="B86" s="328"/>
      <c r="C86" s="257"/>
      <c r="D86" s="322" t="s">
        <v>84</v>
      </c>
      <c r="E86" s="322"/>
      <c r="F86" s="343">
        <v>0</v>
      </c>
      <c r="G86" s="343">
        <v>0</v>
      </c>
      <c r="H86" s="282">
        <f t="shared" ref="H86:H92" si="0">+F86-G86</f>
        <v>0</v>
      </c>
      <c r="I86" s="343">
        <v>477686.55</v>
      </c>
      <c r="J86" s="282">
        <f t="shared" ref="J86:J92" si="1">+F86-I86</f>
        <v>-477686.55</v>
      </c>
    </row>
    <row r="87" spans="1:10" ht="21" customHeight="1" x14ac:dyDescent="0.25">
      <c r="A87" s="228"/>
      <c r="B87" s="328"/>
      <c r="C87" s="257"/>
      <c r="D87" s="322" t="s">
        <v>85</v>
      </c>
      <c r="E87" s="322"/>
      <c r="F87" s="343">
        <v>1684915.8</v>
      </c>
      <c r="G87" s="343">
        <v>1684915.8</v>
      </c>
      <c r="H87" s="282">
        <f t="shared" si="0"/>
        <v>0</v>
      </c>
      <c r="I87" s="343">
        <v>1804216.73</v>
      </c>
      <c r="J87" s="282">
        <f t="shared" si="1"/>
        <v>-119300.92999999993</v>
      </c>
    </row>
    <row r="88" spans="1:10" ht="21" customHeight="1" x14ac:dyDescent="0.25">
      <c r="A88" s="228"/>
      <c r="B88" s="328"/>
      <c r="C88" s="257"/>
      <c r="D88" s="322" t="s">
        <v>86</v>
      </c>
      <c r="E88" s="322"/>
      <c r="F88" s="343">
        <v>25730143.829999998</v>
      </c>
      <c r="G88" s="343">
        <v>25730143.829999998</v>
      </c>
      <c r="H88" s="282">
        <f t="shared" si="0"/>
        <v>0</v>
      </c>
      <c r="I88" s="343">
        <v>27833205.489999998</v>
      </c>
      <c r="J88" s="282">
        <f t="shared" si="1"/>
        <v>-2103061.66</v>
      </c>
    </row>
    <row r="89" spans="1:10" ht="21" customHeight="1" x14ac:dyDescent="0.25">
      <c r="A89" s="228"/>
      <c r="B89" s="328"/>
      <c r="C89" s="257"/>
      <c r="D89" s="322" t="s">
        <v>87</v>
      </c>
      <c r="E89" s="322"/>
      <c r="F89" s="343">
        <v>2760429.64</v>
      </c>
      <c r="G89" s="343">
        <v>2760429.64</v>
      </c>
      <c r="H89" s="282">
        <f t="shared" si="0"/>
        <v>0</v>
      </c>
      <c r="I89" s="343">
        <v>3071482.34</v>
      </c>
      <c r="J89" s="282">
        <f t="shared" si="1"/>
        <v>-311052.69999999972</v>
      </c>
    </row>
    <row r="90" spans="1:10" ht="21" customHeight="1" x14ac:dyDescent="0.25">
      <c r="A90" s="228"/>
      <c r="B90" s="328"/>
      <c r="C90" s="257"/>
      <c r="D90" s="322" t="s">
        <v>88</v>
      </c>
      <c r="E90" s="322"/>
      <c r="F90" s="343">
        <v>1646975.51</v>
      </c>
      <c r="G90" s="343">
        <v>1646975.51</v>
      </c>
      <c r="H90" s="282">
        <f t="shared" si="0"/>
        <v>0</v>
      </c>
      <c r="I90" s="343">
        <v>1646975.51</v>
      </c>
      <c r="J90" s="282">
        <f t="shared" si="1"/>
        <v>0</v>
      </c>
    </row>
    <row r="91" spans="1:10" ht="21" hidden="1" customHeight="1" x14ac:dyDescent="0.25">
      <c r="A91" s="228"/>
      <c r="B91" s="328"/>
      <c r="C91" s="257"/>
      <c r="D91" s="322" t="s">
        <v>89</v>
      </c>
      <c r="E91" s="322"/>
      <c r="F91" s="343">
        <v>0</v>
      </c>
      <c r="G91" s="343">
        <v>0</v>
      </c>
      <c r="H91" s="282">
        <f t="shared" si="0"/>
        <v>0</v>
      </c>
      <c r="I91" s="343">
        <v>0</v>
      </c>
      <c r="J91" s="282">
        <f t="shared" si="1"/>
        <v>0</v>
      </c>
    </row>
    <row r="92" spans="1:10" ht="21" customHeight="1" x14ac:dyDescent="0.25">
      <c r="A92" s="228"/>
      <c r="B92" s="328"/>
      <c r="C92" s="257"/>
      <c r="D92" s="322" t="s">
        <v>90</v>
      </c>
      <c r="E92" s="322"/>
      <c r="F92" s="343">
        <v>55997.5</v>
      </c>
      <c r="G92" s="343">
        <v>55997.5</v>
      </c>
      <c r="H92" s="282">
        <f t="shared" si="0"/>
        <v>0</v>
      </c>
      <c r="I92" s="343">
        <v>55997.5</v>
      </c>
      <c r="J92" s="282">
        <f t="shared" si="1"/>
        <v>0</v>
      </c>
    </row>
    <row r="93" spans="1:10" ht="21" customHeight="1" x14ac:dyDescent="0.25">
      <c r="A93" s="228"/>
      <c r="B93" s="328"/>
      <c r="C93" s="257"/>
      <c r="D93" s="322" t="s">
        <v>214</v>
      </c>
      <c r="E93" s="322"/>
      <c r="F93" s="288">
        <f>475190.5+1245.5</f>
        <v>476436</v>
      </c>
      <c r="G93" s="288">
        <f>475190.5+3531.26</f>
        <v>478721.76</v>
      </c>
      <c r="H93" s="283">
        <f>+F93-G93</f>
        <v>-2285.7600000000093</v>
      </c>
      <c r="I93" s="288">
        <v>507562.62</v>
      </c>
      <c r="J93" s="283">
        <f>+F93-I93</f>
        <v>-31126.619999999995</v>
      </c>
    </row>
    <row r="94" spans="1:10" ht="21" customHeight="1" x14ac:dyDescent="0.3">
      <c r="A94" s="228"/>
      <c r="B94" s="328"/>
      <c r="C94" s="341" t="s">
        <v>91</v>
      </c>
      <c r="D94" s="248"/>
      <c r="E94" s="320"/>
      <c r="F94" s="342">
        <f>SUM(F95:F97)</f>
        <v>46216987.689999998</v>
      </c>
      <c r="G94" s="342">
        <f>SUM(G95:G97)</f>
        <v>46216987.689999998</v>
      </c>
      <c r="H94" s="277">
        <f>SUM(H95:H97)</f>
        <v>0</v>
      </c>
      <c r="I94" s="342">
        <f>SUM(I95:I97)</f>
        <v>46216987.689999998</v>
      </c>
      <c r="J94" s="277">
        <f>SUM(J95:J97)</f>
        <v>0</v>
      </c>
    </row>
    <row r="95" spans="1:10" ht="21" customHeight="1" x14ac:dyDescent="0.25">
      <c r="A95" s="228"/>
      <c r="B95" s="328"/>
      <c r="C95" s="257"/>
      <c r="D95" s="322" t="s">
        <v>92</v>
      </c>
      <c r="E95" s="322"/>
      <c r="F95" s="343">
        <v>14032640.65</v>
      </c>
      <c r="G95" s="343">
        <v>14032640.65</v>
      </c>
      <c r="H95" s="282">
        <f>+F95-G95</f>
        <v>0</v>
      </c>
      <c r="I95" s="343">
        <v>14032640.65</v>
      </c>
      <c r="J95" s="282">
        <f>+F95-I95</f>
        <v>0</v>
      </c>
    </row>
    <row r="96" spans="1:10" ht="21" customHeight="1" x14ac:dyDescent="0.25">
      <c r="A96" s="228"/>
      <c r="B96" s="328"/>
      <c r="C96" s="257"/>
      <c r="D96" s="322" t="s">
        <v>93</v>
      </c>
      <c r="E96" s="322"/>
      <c r="F96" s="343">
        <v>28571428.57</v>
      </c>
      <c r="G96" s="343">
        <v>28571428.57</v>
      </c>
      <c r="H96" s="282">
        <f>+F96-G96</f>
        <v>0</v>
      </c>
      <c r="I96" s="343">
        <v>28571428.57</v>
      </c>
      <c r="J96" s="282">
        <f>+F96-I96</f>
        <v>0</v>
      </c>
    </row>
    <row r="97" spans="1:10" ht="21" customHeight="1" x14ac:dyDescent="0.25">
      <c r="A97" s="228"/>
      <c r="B97" s="328"/>
      <c r="C97" s="257"/>
      <c r="D97" s="322" t="s">
        <v>94</v>
      </c>
      <c r="E97" s="322"/>
      <c r="F97" s="344">
        <v>3612918.47</v>
      </c>
      <c r="G97" s="344">
        <v>3612918.47</v>
      </c>
      <c r="H97" s="345">
        <f>+F97-G97</f>
        <v>0</v>
      </c>
      <c r="I97" s="343">
        <v>3612918.47</v>
      </c>
      <c r="J97" s="345">
        <f>+F97-I97</f>
        <v>0</v>
      </c>
    </row>
    <row r="98" spans="1:10" ht="21" customHeight="1" x14ac:dyDescent="0.25">
      <c r="A98" s="228"/>
      <c r="B98" s="328"/>
      <c r="C98" s="257"/>
      <c r="D98" s="322"/>
      <c r="E98" s="322"/>
      <c r="F98" s="343"/>
      <c r="G98" s="343"/>
      <c r="H98" s="285"/>
      <c r="I98" s="285"/>
      <c r="J98" s="251"/>
    </row>
    <row r="99" spans="1:10" ht="21" customHeight="1" x14ac:dyDescent="0.3">
      <c r="A99" s="228"/>
      <c r="B99" s="328"/>
      <c r="C99" s="341" t="s">
        <v>199</v>
      </c>
      <c r="D99" s="322"/>
      <c r="E99" s="322"/>
      <c r="F99" s="342">
        <f>+F100</f>
        <v>1488764</v>
      </c>
      <c r="G99" s="342">
        <f>+G100</f>
        <v>350004</v>
      </c>
      <c r="H99" s="346">
        <f>+F99-G99</f>
        <v>1138760</v>
      </c>
      <c r="I99" s="346">
        <f>+I100</f>
        <v>0</v>
      </c>
      <c r="J99" s="346">
        <f>+F99-I99</f>
        <v>1488764</v>
      </c>
    </row>
    <row r="100" spans="1:10" ht="21" customHeight="1" x14ac:dyDescent="0.25">
      <c r="A100" s="228"/>
      <c r="B100" s="328"/>
      <c r="C100" s="257"/>
      <c r="D100" s="322" t="s">
        <v>200</v>
      </c>
      <c r="E100" s="322"/>
      <c r="F100" s="343">
        <v>1488764</v>
      </c>
      <c r="G100" s="343">
        <v>350004</v>
      </c>
      <c r="H100" s="347">
        <f>+F100-G100</f>
        <v>1138760</v>
      </c>
      <c r="I100" s="347">
        <v>0</v>
      </c>
      <c r="J100" s="348">
        <f>+F100-I100</f>
        <v>1488764</v>
      </c>
    </row>
    <row r="101" spans="1:10" ht="21" customHeight="1" x14ac:dyDescent="0.25">
      <c r="A101" s="228"/>
      <c r="B101" s="328"/>
      <c r="C101" s="257"/>
      <c r="D101" s="257"/>
      <c r="E101" s="320"/>
      <c r="F101" s="349"/>
      <c r="G101" s="349"/>
      <c r="H101" s="259"/>
      <c r="I101" s="259"/>
      <c r="J101" s="259"/>
    </row>
    <row r="102" spans="1:10" ht="21" customHeight="1" x14ac:dyDescent="0.3">
      <c r="A102" s="228"/>
      <c r="B102" s="319" t="s">
        <v>23</v>
      </c>
      <c r="C102" s="248"/>
      <c r="D102" s="248"/>
      <c r="E102" s="320"/>
      <c r="F102" s="262">
        <f>SUM(F103:F105)</f>
        <v>76258399.099999994</v>
      </c>
      <c r="G102" s="262">
        <f>SUM(G103:G105)</f>
        <v>76829491.550000012</v>
      </c>
      <c r="H102" s="262">
        <f>SUM(H103:H105)</f>
        <v>-571092.45000000298</v>
      </c>
      <c r="I102" s="262">
        <f>SUM(I103:I105)</f>
        <v>75032906.560000002</v>
      </c>
      <c r="J102" s="262">
        <f>SUM(J103:J105)</f>
        <v>1225492.5399999991</v>
      </c>
    </row>
    <row r="103" spans="1:10" ht="21" customHeight="1" x14ac:dyDescent="0.25">
      <c r="A103" s="228"/>
      <c r="B103" s="328"/>
      <c r="C103" s="322" t="s">
        <v>95</v>
      </c>
      <c r="D103" s="253"/>
      <c r="E103" s="322"/>
      <c r="F103" s="350">
        <v>8999030.1799999997</v>
      </c>
      <c r="G103" s="350">
        <v>11683245.800000001</v>
      </c>
      <c r="H103" s="351">
        <f>+F103-G103</f>
        <v>-2684215.620000001</v>
      </c>
      <c r="I103" s="350">
        <v>6498517.8399999999</v>
      </c>
      <c r="J103" s="351">
        <f>+F103-I103</f>
        <v>2500512.34</v>
      </c>
    </row>
    <row r="104" spans="1:10" ht="21" customHeight="1" x14ac:dyDescent="0.25">
      <c r="A104" s="228"/>
      <c r="B104" s="328"/>
      <c r="C104" s="322" t="s">
        <v>96</v>
      </c>
      <c r="D104" s="253"/>
      <c r="E104" s="322"/>
      <c r="F104" s="350">
        <v>49208166.770000003</v>
      </c>
      <c r="G104" s="350">
        <v>49208166.770000003</v>
      </c>
      <c r="H104" s="351">
        <f>+F104-G104</f>
        <v>0</v>
      </c>
      <c r="I104" s="350">
        <v>49208166.770000003</v>
      </c>
      <c r="J104" s="351">
        <f>+F104-I104</f>
        <v>0</v>
      </c>
    </row>
    <row r="105" spans="1:10" ht="21" customHeight="1" x14ac:dyDescent="0.25">
      <c r="A105" s="228"/>
      <c r="B105" s="328"/>
      <c r="C105" s="322" t="s">
        <v>133</v>
      </c>
      <c r="D105" s="253"/>
      <c r="E105" s="322"/>
      <c r="F105" s="250">
        <v>18051202.149999999</v>
      </c>
      <c r="G105" s="250">
        <v>15938078.98</v>
      </c>
      <c r="H105" s="251">
        <f>+F105-G105</f>
        <v>2113123.1699999981</v>
      </c>
      <c r="I105" s="250">
        <v>19326221.949999999</v>
      </c>
      <c r="J105" s="251">
        <f>+F105-I105</f>
        <v>-1275019.8000000007</v>
      </c>
    </row>
    <row r="106" spans="1:10" ht="21" customHeight="1" x14ac:dyDescent="0.25">
      <c r="A106" s="228"/>
      <c r="B106" s="328"/>
      <c r="C106" s="257"/>
      <c r="D106" s="257"/>
      <c r="E106" s="320"/>
      <c r="F106" s="349"/>
      <c r="G106" s="349"/>
      <c r="H106" s="349"/>
      <c r="I106" s="349"/>
      <c r="J106" s="349"/>
    </row>
    <row r="107" spans="1:10" ht="21" customHeight="1" x14ac:dyDescent="0.3">
      <c r="A107" s="228"/>
      <c r="B107" s="319" t="s">
        <v>24</v>
      </c>
      <c r="C107" s="248"/>
      <c r="D107" s="248"/>
      <c r="E107" s="320"/>
      <c r="F107" s="352">
        <f>F108+F109</f>
        <v>-232781925.62</v>
      </c>
      <c r="G107" s="352">
        <f>G108+G109</f>
        <v>-229788720.26000002</v>
      </c>
      <c r="H107" s="352">
        <f>H108+H109</f>
        <v>-2993205.3599999934</v>
      </c>
      <c r="I107" s="352">
        <f>I108+I109</f>
        <v>-224547751.15000001</v>
      </c>
      <c r="J107" s="352">
        <f>J108+J109</f>
        <v>-8234174.4700000007</v>
      </c>
    </row>
    <row r="108" spans="1:10" ht="21" customHeight="1" x14ac:dyDescent="0.25">
      <c r="A108" s="228"/>
      <c r="B108" s="328"/>
      <c r="C108" s="322" t="s">
        <v>99</v>
      </c>
      <c r="D108" s="253"/>
      <c r="E108" s="322"/>
      <c r="F108" s="350">
        <v>-231904031.65000001</v>
      </c>
      <c r="G108" s="350">
        <f>-229650779.34-156609.71</f>
        <v>-229807389.05000001</v>
      </c>
      <c r="H108" s="351">
        <f>+F108-G108</f>
        <v>-2096642.599999994</v>
      </c>
      <c r="I108" s="350">
        <v>-224453641.62</v>
      </c>
      <c r="J108" s="351">
        <f>+F108-I108</f>
        <v>-7450390.0300000012</v>
      </c>
    </row>
    <row r="109" spans="1:10" ht="21" customHeight="1" x14ac:dyDescent="0.25">
      <c r="A109" s="228"/>
      <c r="B109" s="328"/>
      <c r="C109" s="322" t="s">
        <v>97</v>
      </c>
      <c r="D109" s="253"/>
      <c r="E109" s="322"/>
      <c r="F109" s="254">
        <f>4483164.41-5302058.38-59000</f>
        <v>-877893.96999999974</v>
      </c>
      <c r="G109" s="254">
        <f>4345572.52-4480095.92-3451.56-17.27+156609.71+51.31</f>
        <v>18668.789999999633</v>
      </c>
      <c r="H109" s="256">
        <f>+F109-G109</f>
        <v>-896562.75999999943</v>
      </c>
      <c r="I109" s="254">
        <f>4152790.89-4244900.42-2000</f>
        <v>-94109.529999999795</v>
      </c>
      <c r="J109" s="256">
        <f>+F109-I109</f>
        <v>-783784.44</v>
      </c>
    </row>
    <row r="110" spans="1:10" ht="21" customHeight="1" x14ac:dyDescent="0.3">
      <c r="A110" s="228"/>
      <c r="B110" s="330"/>
      <c r="C110" s="331"/>
      <c r="D110" s="331"/>
      <c r="E110" s="353" t="s">
        <v>25</v>
      </c>
      <c r="F110" s="245">
        <f>F82+F102+F107</f>
        <v>-31839608.780000031</v>
      </c>
      <c r="G110" s="245">
        <f>G82+G102+G107</f>
        <v>-32096000.830000013</v>
      </c>
      <c r="H110" s="245">
        <f>H82+H102+H107</f>
        <v>256392.05000000121</v>
      </c>
      <c r="I110" s="245">
        <f>I82+I102+I107</f>
        <v>-27483609.409999996</v>
      </c>
      <c r="J110" s="245">
        <f>J82+J102+J107</f>
        <v>-4355999.3700000048</v>
      </c>
    </row>
    <row r="111" spans="1:10" ht="15.75" x14ac:dyDescent="0.25">
      <c r="A111" s="228"/>
      <c r="B111" s="328"/>
      <c r="C111" s="257"/>
      <c r="D111" s="257"/>
      <c r="E111" s="320"/>
      <c r="F111" s="259"/>
      <c r="G111" s="259"/>
      <c r="H111" s="354"/>
      <c r="I111" s="259"/>
      <c r="J111" s="354"/>
    </row>
    <row r="112" spans="1:10" ht="21" customHeight="1" thickBot="1" x14ac:dyDescent="0.35">
      <c r="A112" s="228"/>
      <c r="B112" s="335" t="s">
        <v>98</v>
      </c>
      <c r="C112" s="336"/>
      <c r="D112" s="336"/>
      <c r="E112" s="355"/>
      <c r="F112" s="356">
        <f>F110+F79</f>
        <v>83746933.079999968</v>
      </c>
      <c r="G112" s="356">
        <f>G110+G79</f>
        <v>83494653.269999981</v>
      </c>
      <c r="H112" s="356">
        <f>H110+H79</f>
        <v>252279.81000000131</v>
      </c>
      <c r="I112" s="356">
        <f>I110+I79</f>
        <v>88645499.86999999</v>
      </c>
      <c r="J112" s="356">
        <f>J110+J79</f>
        <v>-4898566.7900000047</v>
      </c>
    </row>
    <row r="113" spans="1:10" ht="15" x14ac:dyDescent="0.25">
      <c r="A113" s="228"/>
      <c r="B113" s="357"/>
      <c r="C113" s="357"/>
      <c r="D113" s="357"/>
      <c r="E113" s="357"/>
      <c r="F113" s="357"/>
      <c r="G113" s="357"/>
      <c r="H113" s="357"/>
      <c r="I113" s="357"/>
    </row>
    <row r="114" spans="1:10" ht="15" x14ac:dyDescent="0.25">
      <c r="A114" s="228"/>
      <c r="B114" s="357"/>
      <c r="C114" s="357"/>
      <c r="D114" s="357"/>
      <c r="E114" s="357"/>
      <c r="F114" s="357"/>
      <c r="G114" s="357"/>
      <c r="H114" s="357"/>
      <c r="I114" s="357"/>
      <c r="J114" s="357"/>
    </row>
    <row r="115" spans="1:10" ht="15" x14ac:dyDescent="0.25">
      <c r="A115" s="228"/>
      <c r="B115" s="358"/>
      <c r="C115" s="358"/>
      <c r="D115" s="358"/>
      <c r="E115" s="358"/>
      <c r="F115" s="359"/>
      <c r="G115" s="359"/>
      <c r="H115" s="359"/>
      <c r="I115" s="359"/>
      <c r="J115" s="360"/>
    </row>
    <row r="116" spans="1:10" ht="15" x14ac:dyDescent="0.25">
      <c r="A116" s="228"/>
      <c r="B116" s="358"/>
      <c r="C116" s="358"/>
      <c r="D116" s="358"/>
      <c r="E116" s="358"/>
      <c r="F116" s="359"/>
      <c r="G116" s="359"/>
      <c r="H116" s="359"/>
      <c r="I116" s="359"/>
    </row>
    <row r="117" spans="1:10" ht="15" x14ac:dyDescent="0.25">
      <c r="A117" s="228"/>
      <c r="B117" s="358"/>
      <c r="C117" s="358"/>
      <c r="D117" s="358"/>
      <c r="E117" s="358"/>
      <c r="F117" s="359"/>
      <c r="G117" s="359"/>
      <c r="H117" s="359"/>
      <c r="I117" s="359"/>
    </row>
    <row r="118" spans="1:10" ht="15" x14ac:dyDescent="0.25">
      <c r="A118" s="228"/>
      <c r="B118" s="358"/>
      <c r="C118" s="358"/>
      <c r="D118" s="358"/>
      <c r="E118" s="358"/>
      <c r="F118" s="359"/>
      <c r="G118" s="359"/>
      <c r="H118" s="359"/>
      <c r="I118" s="359"/>
    </row>
    <row r="119" spans="1:10" ht="15" x14ac:dyDescent="0.25">
      <c r="A119" s="228"/>
      <c r="B119" s="358"/>
      <c r="C119" s="358"/>
      <c r="D119" s="358"/>
      <c r="E119" s="358"/>
      <c r="F119" s="359"/>
      <c r="G119" s="359"/>
      <c r="H119" s="359"/>
      <c r="I119" s="359"/>
    </row>
    <row r="120" spans="1:10" ht="15" x14ac:dyDescent="0.25">
      <c r="A120" s="228"/>
      <c r="B120" s="358"/>
      <c r="C120" s="358"/>
      <c r="D120" s="358"/>
      <c r="E120" s="358"/>
      <c r="F120" s="359"/>
      <c r="G120" s="359"/>
      <c r="H120" s="359"/>
      <c r="I120" s="359"/>
    </row>
    <row r="121" spans="1:10" ht="15" x14ac:dyDescent="0.25">
      <c r="A121" s="228"/>
      <c r="B121" s="358"/>
      <c r="C121" s="358"/>
      <c r="D121" s="358"/>
      <c r="E121" s="358"/>
      <c r="F121" s="359"/>
      <c r="G121" s="359"/>
      <c r="H121" s="359"/>
      <c r="I121" s="359"/>
    </row>
    <row r="122" spans="1:10" ht="15" x14ac:dyDescent="0.25">
      <c r="A122" s="228"/>
      <c r="B122" s="358"/>
      <c r="C122" s="358"/>
      <c r="D122" s="358"/>
      <c r="E122" s="358"/>
      <c r="F122" s="359"/>
      <c r="G122" s="359"/>
      <c r="H122" s="359"/>
      <c r="I122" s="359"/>
    </row>
    <row r="123" spans="1:10" ht="18.75" x14ac:dyDescent="0.3">
      <c r="A123" s="228"/>
      <c r="B123" s="228"/>
      <c r="C123" s="381" t="s">
        <v>222</v>
      </c>
      <c r="D123" s="381"/>
      <c r="E123" s="381"/>
      <c r="F123" s="381"/>
      <c r="G123" s="381"/>
      <c r="H123" s="381"/>
      <c r="I123" s="381"/>
      <c r="J123" s="381"/>
    </row>
    <row r="124" spans="1:10" ht="15" x14ac:dyDescent="0.25">
      <c r="A124" s="228"/>
      <c r="B124" s="358"/>
      <c r="C124" s="358"/>
      <c r="D124" s="358"/>
      <c r="E124" s="358"/>
      <c r="F124" s="359"/>
      <c r="G124" s="359"/>
      <c r="H124" s="359"/>
      <c r="I124" s="359"/>
    </row>
    <row r="125" spans="1:10" ht="15" x14ac:dyDescent="0.25">
      <c r="A125" s="228"/>
      <c r="B125" s="358"/>
      <c r="C125" s="358"/>
      <c r="D125" s="358"/>
      <c r="E125" s="358"/>
      <c r="F125" s="359"/>
      <c r="G125" s="359"/>
      <c r="H125" s="359"/>
      <c r="I125" s="359"/>
    </row>
    <row r="126" spans="1:10" ht="15" x14ac:dyDescent="0.25">
      <c r="A126" s="228"/>
      <c r="B126" s="358"/>
      <c r="C126" s="358"/>
      <c r="D126" s="358"/>
      <c r="E126" s="358"/>
      <c r="F126" s="359"/>
      <c r="G126" s="359"/>
      <c r="H126" s="359"/>
      <c r="I126" s="359"/>
    </row>
    <row r="127" spans="1:10" ht="15" x14ac:dyDescent="0.25">
      <c r="A127" s="228"/>
      <c r="B127" s="358"/>
      <c r="C127" s="358"/>
      <c r="D127" s="358"/>
      <c r="E127" s="358"/>
      <c r="F127" s="358"/>
      <c r="G127" s="358"/>
      <c r="H127" s="358"/>
      <c r="I127" s="358"/>
    </row>
    <row r="128" spans="1:10" x14ac:dyDescent="0.2">
      <c r="A128" s="228"/>
      <c r="B128" s="228"/>
      <c r="C128" s="228"/>
      <c r="D128" s="228"/>
      <c r="E128" s="228"/>
      <c r="F128" s="228"/>
      <c r="G128" s="228"/>
      <c r="H128" s="228"/>
      <c r="I128" s="228"/>
    </row>
    <row r="129" spans="1:9" x14ac:dyDescent="0.2">
      <c r="A129" s="228"/>
      <c r="B129" s="228"/>
      <c r="C129" s="228"/>
      <c r="D129" s="228"/>
      <c r="E129" s="228"/>
      <c r="F129" s="228"/>
      <c r="G129" s="228"/>
      <c r="H129" s="228"/>
      <c r="I129" s="228"/>
    </row>
    <row r="130" spans="1:9" x14ac:dyDescent="0.2">
      <c r="A130" s="228"/>
      <c r="B130" s="228"/>
      <c r="C130" s="228"/>
      <c r="D130" s="228"/>
      <c r="E130" s="228"/>
      <c r="F130" s="228"/>
      <c r="G130" s="228"/>
      <c r="H130" s="228"/>
      <c r="I130" s="228"/>
    </row>
    <row r="131" spans="1:9" x14ac:dyDescent="0.2">
      <c r="A131" s="228"/>
      <c r="B131" s="228"/>
      <c r="C131" s="228"/>
      <c r="D131" s="228"/>
      <c r="E131" s="228"/>
      <c r="F131" s="228"/>
      <c r="G131" s="228"/>
      <c r="H131" s="228"/>
      <c r="I131" s="228"/>
    </row>
    <row r="132" spans="1:9" x14ac:dyDescent="0.2">
      <c r="A132" s="228"/>
      <c r="B132" s="228"/>
      <c r="C132" s="228"/>
      <c r="D132" s="228"/>
      <c r="E132" s="228"/>
      <c r="F132" s="228"/>
      <c r="G132" s="228"/>
      <c r="H132" s="228"/>
      <c r="I132" s="228"/>
    </row>
    <row r="133" spans="1:9" x14ac:dyDescent="0.2">
      <c r="A133" s="228"/>
      <c r="B133" s="228"/>
      <c r="C133" s="228"/>
      <c r="D133" s="228"/>
      <c r="E133" s="228"/>
      <c r="F133" s="228"/>
      <c r="G133" s="228"/>
      <c r="H133" s="228"/>
      <c r="I133" s="228"/>
    </row>
    <row r="134" spans="1:9" x14ac:dyDescent="0.2">
      <c r="A134" s="228"/>
      <c r="B134" s="228"/>
      <c r="C134" s="228"/>
      <c r="D134" s="228"/>
      <c r="E134" s="228"/>
      <c r="F134" s="228"/>
      <c r="G134" s="228"/>
      <c r="H134" s="228"/>
      <c r="I134" s="228"/>
    </row>
    <row r="135" spans="1:9" x14ac:dyDescent="0.2">
      <c r="A135" s="228"/>
      <c r="B135" s="228"/>
      <c r="C135" s="228"/>
      <c r="D135" s="228"/>
      <c r="E135" s="228"/>
      <c r="F135" s="228"/>
      <c r="G135" s="228"/>
      <c r="H135" s="228"/>
      <c r="I135" s="228"/>
    </row>
    <row r="136" spans="1:9" x14ac:dyDescent="0.2">
      <c r="A136" s="228"/>
      <c r="B136" s="228"/>
      <c r="C136" s="228"/>
      <c r="D136" s="228"/>
      <c r="E136" s="228"/>
      <c r="F136" s="228"/>
      <c r="G136" s="228"/>
      <c r="H136" s="228"/>
      <c r="I136" s="228"/>
    </row>
    <row r="137" spans="1:9" x14ac:dyDescent="0.2">
      <c r="A137" s="228"/>
      <c r="B137" s="228"/>
      <c r="C137" s="228"/>
      <c r="D137" s="228"/>
      <c r="E137" s="228"/>
      <c r="F137" s="228"/>
      <c r="G137" s="228"/>
      <c r="H137" s="228"/>
      <c r="I137" s="228"/>
    </row>
    <row r="138" spans="1:9" x14ac:dyDescent="0.2">
      <c r="A138" s="228"/>
      <c r="B138" s="228"/>
      <c r="C138" s="228"/>
      <c r="D138" s="228"/>
      <c r="E138" s="228"/>
      <c r="F138" s="228"/>
      <c r="G138" s="228"/>
      <c r="H138" s="228"/>
      <c r="I138" s="228"/>
    </row>
    <row r="139" spans="1:9" x14ac:dyDescent="0.2">
      <c r="A139" s="228"/>
      <c r="B139" s="228"/>
      <c r="C139" s="228"/>
      <c r="D139" s="228"/>
      <c r="E139" s="228"/>
      <c r="F139" s="228"/>
      <c r="G139" s="228"/>
      <c r="H139" s="228"/>
      <c r="I139" s="228"/>
    </row>
    <row r="140" spans="1:9" x14ac:dyDescent="0.2">
      <c r="A140" s="228"/>
      <c r="B140" s="228"/>
      <c r="C140" s="228"/>
      <c r="D140" s="228"/>
      <c r="E140" s="228"/>
      <c r="F140" s="228"/>
      <c r="G140" s="228"/>
      <c r="H140" s="228"/>
      <c r="I140" s="228"/>
    </row>
    <row r="141" spans="1:9" x14ac:dyDescent="0.2">
      <c r="A141" s="228"/>
      <c r="B141" s="228"/>
      <c r="C141" s="228"/>
      <c r="D141" s="228"/>
      <c r="E141" s="228"/>
      <c r="F141" s="228"/>
      <c r="G141" s="228"/>
      <c r="H141" s="228"/>
      <c r="I141" s="228"/>
    </row>
    <row r="142" spans="1:9" x14ac:dyDescent="0.2">
      <c r="A142" s="228"/>
      <c r="B142" s="228"/>
      <c r="C142" s="228"/>
      <c r="D142" s="228"/>
      <c r="E142" s="228"/>
      <c r="F142" s="228"/>
      <c r="G142" s="228"/>
      <c r="H142" s="228"/>
      <c r="I142" s="228"/>
    </row>
    <row r="143" spans="1:9" x14ac:dyDescent="0.2">
      <c r="A143" s="228"/>
      <c r="B143" s="228"/>
      <c r="C143" s="228"/>
      <c r="D143" s="228"/>
      <c r="E143" s="228"/>
      <c r="F143" s="228"/>
      <c r="G143" s="228"/>
      <c r="H143" s="228"/>
      <c r="I143" s="228"/>
    </row>
    <row r="144" spans="1:9" x14ac:dyDescent="0.2">
      <c r="A144" s="228"/>
      <c r="B144" s="228"/>
      <c r="C144" s="228"/>
      <c r="D144" s="228"/>
      <c r="E144" s="228"/>
      <c r="F144" s="228"/>
      <c r="G144" s="228"/>
      <c r="H144" s="228"/>
      <c r="I144" s="228"/>
    </row>
    <row r="145" spans="1:9" x14ac:dyDescent="0.2">
      <c r="A145" s="228"/>
      <c r="B145" s="228"/>
      <c r="C145" s="228"/>
      <c r="D145" s="228"/>
      <c r="E145" s="228"/>
      <c r="F145" s="228"/>
      <c r="G145" s="228"/>
      <c r="H145" s="228"/>
      <c r="I145" s="228"/>
    </row>
    <row r="146" spans="1:9" x14ac:dyDescent="0.2">
      <c r="A146" s="228"/>
      <c r="B146" s="228"/>
      <c r="C146" s="228"/>
      <c r="D146" s="228"/>
      <c r="E146" s="228"/>
      <c r="F146" s="228"/>
      <c r="G146" s="228"/>
      <c r="H146" s="228"/>
      <c r="I146" s="228"/>
    </row>
    <row r="147" spans="1:9" x14ac:dyDescent="0.2">
      <c r="A147" s="228"/>
      <c r="B147" s="228"/>
      <c r="C147" s="228"/>
      <c r="D147" s="228"/>
      <c r="E147" s="228"/>
      <c r="F147" s="228"/>
      <c r="G147" s="228"/>
      <c r="H147" s="228"/>
      <c r="I147" s="228"/>
    </row>
    <row r="148" spans="1:9" x14ac:dyDescent="0.2">
      <c r="A148" s="228"/>
      <c r="B148" s="228"/>
      <c r="C148" s="228"/>
      <c r="D148" s="228"/>
      <c r="E148" s="228"/>
      <c r="F148" s="228"/>
      <c r="G148" s="228"/>
      <c r="H148" s="228"/>
      <c r="I148" s="228"/>
    </row>
  </sheetData>
  <mergeCells count="5">
    <mergeCell ref="B2:J2"/>
    <mergeCell ref="B1:J1"/>
    <mergeCell ref="B4:J4"/>
    <mergeCell ref="B62:J62"/>
    <mergeCell ref="C123:J123"/>
  </mergeCells>
  <phoneticPr fontId="11" type="noConversion"/>
  <printOptions horizontalCentered="1"/>
  <pageMargins left="0.31496062992125984" right="0.32" top="0.62" bottom="0.27559055118110237" header="0" footer="0"/>
  <pageSetup scale="3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="90" workbookViewId="0">
      <selection activeCell="D33" sqref="D33"/>
    </sheetView>
  </sheetViews>
  <sheetFormatPr baseColWidth="10" defaultRowHeight="13.5" x14ac:dyDescent="0.25"/>
  <cols>
    <col min="1" max="1" width="2.28515625" style="157" customWidth="1"/>
    <col min="2" max="2" width="3.7109375" style="157" customWidth="1"/>
    <col min="3" max="3" width="57" style="157" bestFit="1" customWidth="1"/>
    <col min="4" max="4" width="22.140625" style="157" customWidth="1"/>
    <col min="5" max="5" width="22.140625" style="157" hidden="1" customWidth="1"/>
    <col min="6" max="6" width="24.42578125" style="157" hidden="1" customWidth="1"/>
    <col min="7" max="7" width="22.140625" style="157" customWidth="1"/>
    <col min="8" max="8" width="25.7109375" style="157" customWidth="1"/>
    <col min="9" max="9" width="5.5703125" style="157" customWidth="1"/>
    <col min="10" max="10" width="7.140625" style="157" customWidth="1"/>
    <col min="11" max="16384" width="11.42578125" style="157"/>
  </cols>
  <sheetData>
    <row r="1" spans="1:11" ht="20.25" x14ac:dyDescent="0.3">
      <c r="A1" s="154"/>
      <c r="B1" s="155"/>
      <c r="C1" s="156"/>
      <c r="D1" s="156"/>
      <c r="E1" s="156"/>
      <c r="F1" s="156"/>
      <c r="G1" s="156"/>
    </row>
    <row r="2" spans="1:11" ht="22.5" x14ac:dyDescent="0.3">
      <c r="A2" s="383" t="s">
        <v>20</v>
      </c>
      <c r="B2" s="383"/>
      <c r="C2" s="383"/>
      <c r="D2" s="383"/>
      <c r="E2" s="383"/>
      <c r="F2" s="383"/>
      <c r="G2" s="383"/>
      <c r="H2" s="383"/>
      <c r="I2" s="383"/>
    </row>
    <row r="3" spans="1:11" ht="18" x14ac:dyDescent="0.25">
      <c r="A3" s="382" t="s">
        <v>100</v>
      </c>
      <c r="B3" s="382"/>
      <c r="C3" s="382"/>
      <c r="D3" s="382"/>
      <c r="E3" s="382"/>
      <c r="F3" s="382"/>
      <c r="G3" s="382"/>
      <c r="H3" s="382"/>
      <c r="I3" s="382"/>
    </row>
    <row r="4" spans="1:11" ht="15.75" x14ac:dyDescent="0.25">
      <c r="A4" s="384" t="s">
        <v>101</v>
      </c>
      <c r="B4" s="384"/>
      <c r="C4" s="384"/>
      <c r="D4" s="384"/>
      <c r="E4" s="384"/>
      <c r="F4" s="384"/>
      <c r="G4" s="384"/>
      <c r="H4" s="384"/>
      <c r="I4" s="384"/>
    </row>
    <row r="5" spans="1:11" ht="30" x14ac:dyDescent="0.3">
      <c r="A5" s="154"/>
      <c r="B5" s="158"/>
      <c r="C5" s="159"/>
      <c r="D5" s="160" t="s">
        <v>208</v>
      </c>
      <c r="E5" s="160" t="s">
        <v>204</v>
      </c>
      <c r="F5" s="161" t="s">
        <v>209</v>
      </c>
      <c r="G5" s="160" t="s">
        <v>138</v>
      </c>
      <c r="H5" s="161" t="s">
        <v>128</v>
      </c>
    </row>
    <row r="6" spans="1:11" ht="17.25" x14ac:dyDescent="0.3">
      <c r="A6" s="154"/>
      <c r="B6" s="162"/>
      <c r="C6" s="163"/>
      <c r="D6" s="164" t="s">
        <v>29</v>
      </c>
      <c r="E6" s="164" t="s">
        <v>201</v>
      </c>
      <c r="F6" s="165" t="s">
        <v>30</v>
      </c>
      <c r="G6" s="166">
        <v>-2</v>
      </c>
      <c r="H6" s="165" t="s">
        <v>30</v>
      </c>
    </row>
    <row r="7" spans="1:11" ht="21" customHeight="1" x14ac:dyDescent="0.3">
      <c r="A7" s="154"/>
      <c r="B7" s="167" t="s">
        <v>102</v>
      </c>
      <c r="C7" s="168"/>
      <c r="D7" s="169"/>
      <c r="E7" s="169"/>
      <c r="F7" s="170"/>
      <c r="G7" s="169"/>
      <c r="H7" s="170"/>
    </row>
    <row r="8" spans="1:11" ht="7.5" customHeight="1" x14ac:dyDescent="0.3">
      <c r="A8" s="154"/>
      <c r="B8" s="171"/>
      <c r="C8" s="172"/>
      <c r="D8" s="173"/>
      <c r="E8" s="173"/>
      <c r="F8" s="174"/>
      <c r="G8" s="173"/>
      <c r="H8" s="174"/>
    </row>
    <row r="9" spans="1:11" ht="21" customHeight="1" x14ac:dyDescent="0.3">
      <c r="A9" s="154"/>
      <c r="B9" s="175" t="s">
        <v>103</v>
      </c>
      <c r="C9" s="172"/>
      <c r="D9" s="176">
        <f>SUM(D10:D13)</f>
        <v>4270693.26</v>
      </c>
      <c r="E9" s="176">
        <f>SUM(E10:E13)</f>
        <v>4164284.6700000004</v>
      </c>
      <c r="F9" s="177">
        <f>D9-E9</f>
        <v>106408.58999999939</v>
      </c>
      <c r="G9" s="176">
        <f>SUM(G10:G13)</f>
        <v>3956711.04</v>
      </c>
      <c r="H9" s="177">
        <f>SUM(H10:H13)</f>
        <v>313982.22000000044</v>
      </c>
    </row>
    <row r="10" spans="1:11" ht="21" customHeight="1" x14ac:dyDescent="0.3">
      <c r="A10" s="154"/>
      <c r="B10" s="171"/>
      <c r="C10" s="178" t="s">
        <v>7</v>
      </c>
      <c r="D10" s="179">
        <f>3189780.92+3196.7</f>
        <v>3192977.62</v>
      </c>
      <c r="E10" s="179">
        <f>3108760.94+3151.99</f>
        <v>3111912.93</v>
      </c>
      <c r="F10" s="180">
        <f>+D10-E10</f>
        <v>81064.689999999944</v>
      </c>
      <c r="G10" s="179">
        <v>2941570.53</v>
      </c>
      <c r="H10" s="180">
        <f>+D10-G10</f>
        <v>251407.09000000032</v>
      </c>
      <c r="K10" s="181"/>
    </row>
    <row r="11" spans="1:11" ht="21" customHeight="1" x14ac:dyDescent="0.3">
      <c r="A11" s="154"/>
      <c r="B11" s="171"/>
      <c r="C11" s="178" t="s">
        <v>104</v>
      </c>
      <c r="D11" s="179">
        <v>294727.09000000003</v>
      </c>
      <c r="E11" s="179">
        <v>290810.96000000002</v>
      </c>
      <c r="F11" s="180">
        <f>+D11-E11</f>
        <v>3916.1300000000047</v>
      </c>
      <c r="G11" s="179">
        <v>507743.14</v>
      </c>
      <c r="H11" s="180">
        <f>+D11-G11</f>
        <v>-213016.05</v>
      </c>
    </row>
    <row r="12" spans="1:11" ht="21" customHeight="1" x14ac:dyDescent="0.3">
      <c r="A12" s="154"/>
      <c r="B12" s="171"/>
      <c r="C12" s="178" t="s">
        <v>105</v>
      </c>
      <c r="D12" s="179">
        <v>34320.620000000003</v>
      </c>
      <c r="E12" s="179">
        <v>34320.620000000003</v>
      </c>
      <c r="F12" s="180">
        <f>+D12-E12</f>
        <v>0</v>
      </c>
      <c r="G12" s="179">
        <v>106999.58</v>
      </c>
      <c r="H12" s="180">
        <f>+D12-G12</f>
        <v>-72678.959999999992</v>
      </c>
    </row>
    <row r="13" spans="1:11" ht="21" customHeight="1" x14ac:dyDescent="0.3">
      <c r="A13" s="154"/>
      <c r="B13" s="171"/>
      <c r="C13" s="178" t="s">
        <v>106</v>
      </c>
      <c r="D13" s="182">
        <v>748667.93</v>
      </c>
      <c r="E13" s="182">
        <f>730640.41-3451.56+51.31</f>
        <v>727240.16</v>
      </c>
      <c r="F13" s="183">
        <f>+D13-E13</f>
        <v>21427.770000000019</v>
      </c>
      <c r="G13" s="182">
        <v>400397.79</v>
      </c>
      <c r="H13" s="183">
        <f>+D13-G13</f>
        <v>348270.14000000007</v>
      </c>
    </row>
    <row r="14" spans="1:11" ht="21" customHeight="1" x14ac:dyDescent="0.3">
      <c r="A14" s="154"/>
      <c r="B14" s="171"/>
      <c r="C14" s="172"/>
      <c r="D14" s="173"/>
      <c r="E14" s="173"/>
      <c r="F14" s="174"/>
      <c r="G14" s="173"/>
      <c r="H14" s="174"/>
    </row>
    <row r="15" spans="1:11" ht="21" customHeight="1" x14ac:dyDescent="0.3">
      <c r="A15" s="154"/>
      <c r="B15" s="175" t="s">
        <v>107</v>
      </c>
      <c r="C15" s="172"/>
      <c r="D15" s="176">
        <f>SUM(D16:D18)</f>
        <v>212471.15000000002</v>
      </c>
      <c r="E15" s="176">
        <f>SUM(E16:E18)</f>
        <v>177887.6</v>
      </c>
      <c r="F15" s="177">
        <f>D15-E15</f>
        <v>34583.550000000017</v>
      </c>
      <c r="G15" s="176">
        <f>SUM(G16:G18)</f>
        <v>196079.85</v>
      </c>
      <c r="H15" s="177">
        <f>SUM(H16:H18)</f>
        <v>16391.299999999988</v>
      </c>
    </row>
    <row r="16" spans="1:11" ht="21" customHeight="1" x14ac:dyDescent="0.3">
      <c r="A16" s="154"/>
      <c r="B16" s="171"/>
      <c r="C16" s="178" t="s">
        <v>108</v>
      </c>
      <c r="D16" s="179">
        <v>77030.98</v>
      </c>
      <c r="E16" s="179">
        <v>68567.259999999995</v>
      </c>
      <c r="F16" s="180">
        <f>+D16-E16</f>
        <v>8463.7200000000012</v>
      </c>
      <c r="G16" s="179">
        <v>102819.55</v>
      </c>
      <c r="H16" s="180">
        <f>+D16-G16</f>
        <v>-25788.570000000007</v>
      </c>
    </row>
    <row r="17" spans="1:11" ht="21" customHeight="1" x14ac:dyDescent="0.3">
      <c r="A17" s="154"/>
      <c r="B17" s="171"/>
      <c r="C17" s="178" t="s">
        <v>109</v>
      </c>
      <c r="D17" s="179">
        <v>63702.59</v>
      </c>
      <c r="E17" s="179">
        <v>38106.239999999998</v>
      </c>
      <c r="F17" s="180">
        <f>+D17-E17</f>
        <v>25596.35</v>
      </c>
      <c r="G17" s="179">
        <v>32097.54</v>
      </c>
      <c r="H17" s="180">
        <f>+D17-G17</f>
        <v>31605.049999999996</v>
      </c>
    </row>
    <row r="18" spans="1:11" ht="21" customHeight="1" x14ac:dyDescent="0.3">
      <c r="A18" s="154"/>
      <c r="B18" s="171"/>
      <c r="C18" s="178" t="s">
        <v>110</v>
      </c>
      <c r="D18" s="182">
        <v>71737.58</v>
      </c>
      <c r="E18" s="182">
        <v>71214.100000000006</v>
      </c>
      <c r="F18" s="183">
        <f>+D18-E18</f>
        <v>523.47999999999593</v>
      </c>
      <c r="G18" s="182">
        <v>61162.76</v>
      </c>
      <c r="H18" s="183">
        <f>+D18-G18</f>
        <v>10574.82</v>
      </c>
    </row>
    <row r="19" spans="1:11" ht="6" customHeight="1" x14ac:dyDescent="0.3">
      <c r="A19" s="154"/>
      <c r="B19" s="167"/>
      <c r="C19" s="168"/>
      <c r="D19" s="184"/>
      <c r="E19" s="184"/>
      <c r="F19" s="185"/>
      <c r="G19" s="184"/>
      <c r="H19" s="185"/>
    </row>
    <row r="20" spans="1:11" ht="17.25" x14ac:dyDescent="0.3">
      <c r="A20" s="154"/>
      <c r="B20" s="171"/>
      <c r="C20" s="172"/>
      <c r="D20" s="186"/>
      <c r="E20" s="186"/>
      <c r="F20" s="174"/>
      <c r="G20" s="186"/>
      <c r="H20" s="174"/>
    </row>
    <row r="21" spans="1:11" ht="19.5" thickBot="1" x14ac:dyDescent="0.35">
      <c r="A21" s="154"/>
      <c r="B21" s="187" t="s">
        <v>111</v>
      </c>
      <c r="C21" s="188"/>
      <c r="D21" s="189">
        <f>D9+D15+D19</f>
        <v>4483164.41</v>
      </c>
      <c r="E21" s="189">
        <f>E9+E15+E19</f>
        <v>4342172.2700000005</v>
      </c>
      <c r="F21" s="190">
        <f>+F9+F15</f>
        <v>140992.1399999994</v>
      </c>
      <c r="G21" s="189">
        <f>G9+G15+G19</f>
        <v>4152790.89</v>
      </c>
      <c r="H21" s="190">
        <f>+H9+H15</f>
        <v>330373.52000000043</v>
      </c>
    </row>
    <row r="22" spans="1:11" ht="18" thickTop="1" x14ac:dyDescent="0.3">
      <c r="A22" s="154"/>
      <c r="B22" s="172"/>
      <c r="C22" s="172"/>
      <c r="D22" s="191"/>
      <c r="E22" s="191"/>
      <c r="F22" s="192"/>
      <c r="G22" s="191"/>
      <c r="H22" s="192"/>
    </row>
    <row r="23" spans="1:11" ht="18.75" x14ac:dyDescent="0.3">
      <c r="A23" s="154"/>
      <c r="B23" s="193" t="s">
        <v>112</v>
      </c>
      <c r="C23" s="194"/>
      <c r="D23" s="195"/>
      <c r="E23" s="195"/>
      <c r="F23" s="196"/>
      <c r="G23" s="195"/>
      <c r="H23" s="197"/>
    </row>
    <row r="24" spans="1:11" ht="5.25" customHeight="1" x14ac:dyDescent="0.3">
      <c r="A24" s="154"/>
      <c r="B24" s="198"/>
      <c r="C24" s="199"/>
      <c r="D24" s="186"/>
      <c r="E24" s="186"/>
      <c r="F24" s="174"/>
      <c r="G24" s="186"/>
      <c r="H24" s="200"/>
    </row>
    <row r="25" spans="1:11" ht="21" customHeight="1" x14ac:dyDescent="0.3">
      <c r="A25" s="154"/>
      <c r="B25" s="201" t="s">
        <v>113</v>
      </c>
      <c r="C25" s="199"/>
      <c r="D25" s="202">
        <f>SUM(D26:D29)</f>
        <v>5338040.96</v>
      </c>
      <c r="E25" s="202">
        <f>SUM(E26:E29)</f>
        <v>4300486.0600000005</v>
      </c>
      <c r="F25" s="177">
        <f>D25-E25</f>
        <v>1037554.8999999994</v>
      </c>
      <c r="G25" s="202">
        <f>SUM(G26:G29)</f>
        <v>4246900.42</v>
      </c>
      <c r="H25" s="203">
        <f>SUM(H26:H29)</f>
        <v>1091140.5399999998</v>
      </c>
    </row>
    <row r="26" spans="1:11" ht="21" customHeight="1" x14ac:dyDescent="0.3">
      <c r="A26" s="154"/>
      <c r="B26" s="201"/>
      <c r="C26" s="204" t="s">
        <v>114</v>
      </c>
      <c r="D26" s="205">
        <f>(2239653.53-D27)+59000</f>
        <v>2021524.3899999997</v>
      </c>
      <c r="E26" s="205">
        <f>(1989487.81-E27)</f>
        <v>1741481.57</v>
      </c>
      <c r="F26" s="180">
        <f>+D26-E26</f>
        <v>280042.8199999996</v>
      </c>
      <c r="G26" s="205">
        <v>1991576.36</v>
      </c>
      <c r="H26" s="206">
        <f>+D26-G26</f>
        <v>29948.029999999562</v>
      </c>
      <c r="K26" s="181"/>
    </row>
    <row r="27" spans="1:11" ht="21" customHeight="1" x14ac:dyDescent="0.3">
      <c r="A27" s="154"/>
      <c r="B27" s="198"/>
      <c r="C27" s="204" t="s">
        <v>115</v>
      </c>
      <c r="D27" s="205">
        <v>277129.14</v>
      </c>
      <c r="E27" s="205">
        <v>248006.24</v>
      </c>
      <c r="F27" s="180">
        <f>+D27-E27</f>
        <v>29122.900000000023</v>
      </c>
      <c r="G27" s="205">
        <v>328563</v>
      </c>
      <c r="H27" s="206">
        <f>+D27-G27</f>
        <v>-51433.859999999986</v>
      </c>
    </row>
    <row r="28" spans="1:11" ht="21" customHeight="1" x14ac:dyDescent="0.3">
      <c r="A28" s="154"/>
      <c r="B28" s="198"/>
      <c r="C28" s="204" t="s">
        <v>8</v>
      </c>
      <c r="D28" s="205">
        <f>3039387.43-D29</f>
        <v>146833.20000000019</v>
      </c>
      <c r="E28" s="205">
        <f>2467590.69-E29+17.27-156609.71</f>
        <v>145535.27999999977</v>
      </c>
      <c r="F28" s="180">
        <f>+D28-E28</f>
        <v>1297.9200000004203</v>
      </c>
      <c r="G28" s="205">
        <v>377418.41</v>
      </c>
      <c r="H28" s="206">
        <f>+D28-G28</f>
        <v>-230585.20999999979</v>
      </c>
    </row>
    <row r="29" spans="1:11" ht="21" customHeight="1" x14ac:dyDescent="0.3">
      <c r="A29" s="154"/>
      <c r="B29" s="198"/>
      <c r="C29" s="204" t="s">
        <v>116</v>
      </c>
      <c r="D29" s="205">
        <v>2892554.23</v>
      </c>
      <c r="E29" s="205">
        <f>2322055.41+17.27-156609.71</f>
        <v>2165462.9700000002</v>
      </c>
      <c r="F29" s="180">
        <f>+D29-E29</f>
        <v>727091.25999999978</v>
      </c>
      <c r="G29" s="205">
        <v>1549342.65</v>
      </c>
      <c r="H29" s="206">
        <f>+D29-G29</f>
        <v>1343211.58</v>
      </c>
      <c r="K29" s="181"/>
    </row>
    <row r="30" spans="1:11" ht="6.75" customHeight="1" x14ac:dyDescent="0.3">
      <c r="A30" s="154"/>
      <c r="B30" s="198"/>
      <c r="C30" s="207"/>
      <c r="D30" s="208"/>
      <c r="E30" s="208"/>
      <c r="F30" s="185"/>
      <c r="G30" s="208"/>
      <c r="H30" s="209"/>
    </row>
    <row r="31" spans="1:11" ht="17.25" x14ac:dyDescent="0.3">
      <c r="A31" s="154"/>
      <c r="B31" s="198"/>
      <c r="C31" s="199"/>
      <c r="D31" s="186"/>
      <c r="E31" s="186"/>
      <c r="F31" s="174"/>
      <c r="G31" s="186"/>
      <c r="H31" s="200"/>
    </row>
    <row r="32" spans="1:11" ht="21" customHeight="1" x14ac:dyDescent="0.3">
      <c r="A32" s="154"/>
      <c r="B32" s="201" t="s">
        <v>117</v>
      </c>
      <c r="C32" s="199"/>
      <c r="D32" s="202">
        <f>SUM(D33:D33)</f>
        <v>23017.42</v>
      </c>
      <c r="E32" s="202">
        <f>SUM(E33:E33)</f>
        <v>23017.42</v>
      </c>
      <c r="F32" s="177">
        <f>D32-E32</f>
        <v>0</v>
      </c>
      <c r="G32" s="202">
        <f>SUM(G33:G33)</f>
        <v>0</v>
      </c>
      <c r="H32" s="203">
        <f>+H33</f>
        <v>23017.42</v>
      </c>
    </row>
    <row r="33" spans="1:9" ht="21" customHeight="1" x14ac:dyDescent="0.3">
      <c r="A33" s="154"/>
      <c r="B33" s="198"/>
      <c r="C33" s="204" t="s">
        <v>118</v>
      </c>
      <c r="D33" s="205">
        <v>23017.42</v>
      </c>
      <c r="E33" s="205">
        <v>23017.42</v>
      </c>
      <c r="F33" s="180">
        <f>+D33-E33</f>
        <v>0</v>
      </c>
      <c r="G33" s="205">
        <v>0</v>
      </c>
      <c r="H33" s="206">
        <f>+D33-G33</f>
        <v>23017.42</v>
      </c>
    </row>
    <row r="34" spans="1:9" ht="6.75" customHeight="1" x14ac:dyDescent="0.3">
      <c r="A34" s="154"/>
      <c r="B34" s="210"/>
      <c r="C34" s="211"/>
      <c r="D34" s="212"/>
      <c r="E34" s="212"/>
      <c r="F34" s="213"/>
      <c r="G34" s="212"/>
      <c r="H34" s="214"/>
    </row>
    <row r="35" spans="1:9" ht="17.25" x14ac:dyDescent="0.3">
      <c r="A35" s="154"/>
      <c r="B35" s="171"/>
      <c r="C35" s="172"/>
      <c r="D35" s="186"/>
      <c r="E35" s="186"/>
      <c r="F35" s="174"/>
      <c r="G35" s="186"/>
      <c r="H35" s="174"/>
    </row>
    <row r="36" spans="1:9" ht="19.5" thickBot="1" x14ac:dyDescent="0.35">
      <c r="A36" s="154"/>
      <c r="B36" s="187" t="s">
        <v>119</v>
      </c>
      <c r="C36" s="188"/>
      <c r="D36" s="189">
        <f>D25+D32</f>
        <v>5361058.38</v>
      </c>
      <c r="E36" s="189">
        <f>E25+E32</f>
        <v>4323503.4800000004</v>
      </c>
      <c r="F36" s="190">
        <f>F25+F32</f>
        <v>1037554.8999999994</v>
      </c>
      <c r="G36" s="189">
        <f>G25+G32</f>
        <v>4246900.42</v>
      </c>
      <c r="H36" s="190">
        <f>H25+H32</f>
        <v>1114157.9599999997</v>
      </c>
    </row>
    <row r="37" spans="1:9" ht="18.75" thickTop="1" thickBot="1" x14ac:dyDescent="0.35">
      <c r="A37" s="154"/>
      <c r="B37" s="172"/>
      <c r="C37" s="172"/>
      <c r="D37" s="191"/>
      <c r="E37" s="191"/>
      <c r="F37" s="192"/>
      <c r="G37" s="191"/>
      <c r="H37" s="192"/>
    </row>
    <row r="38" spans="1:9" ht="19.5" thickTop="1" x14ac:dyDescent="0.3">
      <c r="A38" s="154"/>
      <c r="B38" s="215" t="s">
        <v>120</v>
      </c>
      <c r="C38" s="216"/>
      <c r="D38" s="217"/>
      <c r="E38" s="217"/>
      <c r="F38" s="218"/>
      <c r="G38" s="217"/>
      <c r="H38" s="218"/>
    </row>
    <row r="39" spans="1:9" ht="19.5" thickBot="1" x14ac:dyDescent="0.35">
      <c r="A39" s="154"/>
      <c r="B39" s="219" t="s">
        <v>121</v>
      </c>
      <c r="C39" s="188"/>
      <c r="D39" s="220">
        <f>+D21-D36</f>
        <v>-877893.96999999974</v>
      </c>
      <c r="E39" s="220">
        <f>E21-E36</f>
        <v>18668.790000000037</v>
      </c>
      <c r="F39" s="221">
        <f>D39-E39</f>
        <v>-896562.75999999978</v>
      </c>
      <c r="G39" s="220">
        <f>G21-G36</f>
        <v>-94109.529999999795</v>
      </c>
      <c r="H39" s="220">
        <f>H21-H36</f>
        <v>-783784.43999999925</v>
      </c>
      <c r="I39" s="222"/>
    </row>
    <row r="40" spans="1:9" ht="18" thickTop="1" x14ac:dyDescent="0.3">
      <c r="A40" s="154"/>
      <c r="B40" s="154"/>
      <c r="C40" s="154"/>
      <c r="D40" s="223"/>
      <c r="E40" s="223"/>
      <c r="F40" s="224"/>
      <c r="G40" s="223"/>
    </row>
    <row r="41" spans="1:9" ht="17.25" x14ac:dyDescent="0.3">
      <c r="A41" s="154"/>
      <c r="B41" s="154"/>
      <c r="C41" s="154"/>
      <c r="D41" s="223"/>
      <c r="E41" s="154"/>
      <c r="F41" s="225"/>
      <c r="G41" s="154"/>
      <c r="H41" s="226"/>
    </row>
    <row r="42" spans="1:9" ht="17.25" x14ac:dyDescent="0.3">
      <c r="A42" s="154"/>
      <c r="B42" s="154"/>
      <c r="C42" s="154"/>
      <c r="D42" s="227"/>
      <c r="E42" s="154"/>
      <c r="F42" s="225"/>
      <c r="G42" s="154"/>
      <c r="H42" s="226"/>
    </row>
    <row r="43" spans="1:9" ht="17.25" x14ac:dyDescent="0.3">
      <c r="A43" s="154"/>
      <c r="B43" s="154"/>
      <c r="C43" s="154"/>
      <c r="D43" s="154"/>
      <c r="E43" s="154"/>
      <c r="F43" s="225"/>
      <c r="G43" s="154"/>
      <c r="H43" s="226"/>
    </row>
    <row r="44" spans="1:9" ht="17.25" x14ac:dyDescent="0.3">
      <c r="A44" s="154"/>
      <c r="B44" s="154"/>
      <c r="C44" s="154"/>
      <c r="D44" s="154"/>
      <c r="E44" s="154"/>
      <c r="F44" s="225"/>
      <c r="G44" s="154"/>
      <c r="H44" s="226"/>
    </row>
    <row r="45" spans="1:9" ht="17.25" x14ac:dyDescent="0.3">
      <c r="A45" s="154"/>
      <c r="B45" s="154"/>
      <c r="C45" s="154"/>
      <c r="D45" s="154"/>
      <c r="E45" s="154"/>
      <c r="F45" s="225"/>
      <c r="G45" s="154"/>
    </row>
    <row r="46" spans="1:9" ht="17.25" x14ac:dyDescent="0.3">
      <c r="A46" s="154"/>
      <c r="B46" s="154"/>
      <c r="C46" s="154"/>
      <c r="D46" s="154"/>
      <c r="E46" s="154"/>
      <c r="F46" s="225"/>
      <c r="G46" s="154"/>
    </row>
    <row r="50" spans="2:8" ht="18" x14ac:dyDescent="0.25">
      <c r="B50" s="385" t="s">
        <v>203</v>
      </c>
      <c r="C50" s="385"/>
      <c r="D50" s="385"/>
      <c r="E50" s="385"/>
      <c r="F50" s="385"/>
      <c r="G50" s="385"/>
      <c r="H50" s="385"/>
    </row>
  </sheetData>
  <mergeCells count="4">
    <mergeCell ref="A3:I3"/>
    <mergeCell ref="A2:I2"/>
    <mergeCell ref="A4:I4"/>
    <mergeCell ref="B50:H50"/>
  </mergeCells>
  <phoneticPr fontId="11" type="noConversion"/>
  <printOptions horizontalCentered="1"/>
  <pageMargins left="0.43307086614173229" right="0.23622047244094491" top="0.68" bottom="0.31496062992125984" header="0" footer="0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25" workbookViewId="0">
      <selection activeCell="C20" sqref="C20"/>
    </sheetView>
  </sheetViews>
  <sheetFormatPr baseColWidth="10" defaultColWidth="8.42578125" defaultRowHeight="12.75" x14ac:dyDescent="0.2"/>
  <cols>
    <col min="1" max="1" width="2.28515625" style="63" customWidth="1"/>
    <col min="2" max="3" width="3.85546875" style="63" customWidth="1"/>
    <col min="4" max="4" width="49.7109375" style="63" bestFit="1" customWidth="1"/>
    <col min="5" max="5" width="21.7109375" style="63" customWidth="1"/>
    <col min="6" max="6" width="18.5703125" style="63" customWidth="1"/>
    <col min="7" max="7" width="18.42578125" style="63" customWidth="1"/>
    <col min="8" max="8" width="19.28515625" style="63" customWidth="1"/>
    <col min="9" max="9" width="17.85546875" style="63" customWidth="1"/>
    <col min="10" max="10" width="17.5703125" style="63" customWidth="1"/>
    <col min="11" max="11" width="19.5703125" style="63" customWidth="1"/>
    <col min="12" max="12" width="2" style="63" customWidth="1"/>
    <col min="13" max="16384" width="8.42578125" style="63"/>
  </cols>
  <sheetData>
    <row r="1" spans="1:12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</row>
    <row r="2" spans="1:12" ht="18.75" x14ac:dyDescent="0.3">
      <c r="A2" s="64"/>
      <c r="B2" s="387" t="s">
        <v>20</v>
      </c>
      <c r="C2" s="387"/>
      <c r="D2" s="387"/>
      <c r="E2" s="387"/>
      <c r="F2" s="387"/>
      <c r="G2" s="387"/>
      <c r="H2" s="387"/>
      <c r="I2" s="387"/>
      <c r="J2" s="387"/>
      <c r="K2" s="387"/>
      <c r="L2" s="65"/>
    </row>
    <row r="3" spans="1:12" ht="18.75" x14ac:dyDescent="0.3">
      <c r="A3" s="64"/>
      <c r="B3" s="66"/>
      <c r="C3" s="66"/>
      <c r="D3" s="67"/>
      <c r="E3" s="67"/>
      <c r="F3" s="67"/>
      <c r="G3" s="67"/>
      <c r="H3" s="67"/>
      <c r="I3" s="67"/>
      <c r="J3" s="67"/>
      <c r="K3" s="68"/>
      <c r="L3" s="65"/>
    </row>
    <row r="4" spans="1:12" ht="22.5" customHeight="1" x14ac:dyDescent="0.35">
      <c r="A4" s="64"/>
      <c r="B4" s="388" t="s">
        <v>139</v>
      </c>
      <c r="C4" s="388"/>
      <c r="D4" s="388"/>
      <c r="E4" s="388"/>
      <c r="F4" s="388"/>
      <c r="G4" s="388"/>
      <c r="H4" s="388"/>
      <c r="I4" s="388"/>
      <c r="J4" s="388"/>
      <c r="K4" s="388"/>
      <c r="L4" s="65"/>
    </row>
    <row r="5" spans="1:12" x14ac:dyDescent="0.2">
      <c r="A5" s="64"/>
      <c r="B5" s="389" t="s">
        <v>140</v>
      </c>
      <c r="C5" s="389"/>
      <c r="D5" s="389"/>
      <c r="E5" s="389"/>
      <c r="F5" s="389"/>
      <c r="G5" s="389"/>
      <c r="H5" s="389"/>
      <c r="I5" s="389"/>
      <c r="J5" s="389"/>
      <c r="K5" s="389"/>
      <c r="L5" s="65"/>
    </row>
    <row r="6" spans="1:12" ht="13.5" thickBot="1" x14ac:dyDescent="0.25">
      <c r="A6" s="64"/>
      <c r="B6" s="69"/>
      <c r="C6" s="69"/>
      <c r="D6" s="67"/>
      <c r="E6" s="67"/>
      <c r="F6" s="67"/>
      <c r="G6" s="67"/>
      <c r="H6" s="67"/>
      <c r="I6" s="67"/>
      <c r="J6" s="67"/>
      <c r="K6" s="67"/>
      <c r="L6" s="65"/>
    </row>
    <row r="7" spans="1:12" ht="21" customHeight="1" x14ac:dyDescent="0.25">
      <c r="A7" s="64"/>
      <c r="B7" s="106"/>
      <c r="C7" s="107"/>
      <c r="D7" s="108"/>
      <c r="E7" s="109" t="s">
        <v>141</v>
      </c>
      <c r="F7" s="109"/>
      <c r="G7" s="109"/>
      <c r="H7" s="109" t="s">
        <v>141</v>
      </c>
      <c r="I7" s="109"/>
      <c r="J7" s="109"/>
      <c r="K7" s="109" t="s">
        <v>141</v>
      </c>
      <c r="L7" s="65"/>
    </row>
    <row r="8" spans="1:12" ht="21" customHeight="1" thickBot="1" x14ac:dyDescent="0.3">
      <c r="A8" s="64"/>
      <c r="B8" s="110" t="s">
        <v>21</v>
      </c>
      <c r="C8" s="111"/>
      <c r="D8" s="112"/>
      <c r="E8" s="113" t="s">
        <v>144</v>
      </c>
      <c r="F8" s="114" t="s">
        <v>142</v>
      </c>
      <c r="G8" s="114" t="s">
        <v>143</v>
      </c>
      <c r="H8" s="113" t="s">
        <v>145</v>
      </c>
      <c r="I8" s="114" t="s">
        <v>142</v>
      </c>
      <c r="J8" s="114" t="s">
        <v>143</v>
      </c>
      <c r="K8" s="113" t="s">
        <v>198</v>
      </c>
      <c r="L8" s="65"/>
    </row>
    <row r="9" spans="1:12" ht="21" customHeight="1" x14ac:dyDescent="0.25">
      <c r="A9" s="64"/>
      <c r="B9" s="115" t="s">
        <v>22</v>
      </c>
      <c r="C9" s="116"/>
      <c r="D9" s="117"/>
      <c r="E9" s="128">
        <f>+E10+E22+E26</f>
        <v>119365449.44</v>
      </c>
      <c r="F9" s="128">
        <f>+F10+F22+F26</f>
        <v>4655785.75</v>
      </c>
      <c r="G9" s="128">
        <f>+G10+G22+G25</f>
        <v>1990000.01</v>
      </c>
      <c r="H9" s="128">
        <f>+H10+H22+H26</f>
        <v>122031235.18000001</v>
      </c>
      <c r="I9" s="128">
        <f>+I10+I22+I26</f>
        <v>10163328.859999999</v>
      </c>
      <c r="J9" s="128">
        <f>+J10+J22+J26</f>
        <v>7510646.2999999998</v>
      </c>
      <c r="K9" s="129">
        <f>+K10+K22+K26</f>
        <v>124683917.73999999</v>
      </c>
      <c r="L9" s="65"/>
    </row>
    <row r="10" spans="1:12" ht="21" customHeight="1" x14ac:dyDescent="0.35">
      <c r="A10" s="64"/>
      <c r="B10" s="115"/>
      <c r="C10" s="116" t="s">
        <v>146</v>
      </c>
      <c r="D10" s="117"/>
      <c r="E10" s="132">
        <f>SUM(E11:E21)</f>
        <v>73148461.75</v>
      </c>
      <c r="F10" s="132">
        <f t="shared" ref="F10:K10" si="0">SUM(F11:F21)</f>
        <v>4655785.75</v>
      </c>
      <c r="G10" s="132">
        <f t="shared" si="0"/>
        <v>1990000.01</v>
      </c>
      <c r="H10" s="132">
        <f t="shared" si="0"/>
        <v>75814247.49000001</v>
      </c>
      <c r="I10" s="132">
        <f t="shared" si="0"/>
        <v>8674564.8599999994</v>
      </c>
      <c r="J10" s="132">
        <f t="shared" si="0"/>
        <v>7510646.2999999998</v>
      </c>
      <c r="K10" s="133">
        <f t="shared" si="0"/>
        <v>76978166.049999997</v>
      </c>
      <c r="L10" s="65"/>
    </row>
    <row r="11" spans="1:12" ht="21" customHeight="1" x14ac:dyDescent="0.2">
      <c r="A11" s="64"/>
      <c r="B11" s="361"/>
      <c r="C11" s="369"/>
      <c r="D11" s="362" t="s">
        <v>147</v>
      </c>
      <c r="E11" s="364">
        <v>30180641.489999998</v>
      </c>
      <c r="F11" s="364">
        <v>2605724.14</v>
      </c>
      <c r="G11" s="364">
        <v>0.01</v>
      </c>
      <c r="H11" s="364">
        <f>+E11+F11-G11</f>
        <v>32786365.619999997</v>
      </c>
      <c r="I11" s="364">
        <f>1776426+4986486</f>
        <v>6762912</v>
      </c>
      <c r="J11" s="364"/>
      <c r="K11" s="365">
        <f>+H11+I11-J11</f>
        <v>39549277.619999997</v>
      </c>
      <c r="L11" s="366"/>
    </row>
    <row r="12" spans="1:12" ht="21" customHeight="1" x14ac:dyDescent="0.2">
      <c r="A12" s="64"/>
      <c r="B12" s="361"/>
      <c r="C12" s="369"/>
      <c r="D12" s="362" t="s">
        <v>148</v>
      </c>
      <c r="E12" s="364">
        <v>7784755.129999999</v>
      </c>
      <c r="F12" s="364"/>
      <c r="G12" s="364">
        <v>154000</v>
      </c>
      <c r="H12" s="364">
        <f t="shared" ref="H12:H21" si="1">+E12+F12-G12</f>
        <v>7630755.129999999</v>
      </c>
      <c r="I12" s="364"/>
      <c r="J12" s="364">
        <f>204672.06+1292541.64+988634.77+41240.74+23253.33+6422.44</f>
        <v>2556764.98</v>
      </c>
      <c r="K12" s="365">
        <f t="shared" ref="K12:K21" si="2">+H12+I12-J12</f>
        <v>5073990.1499999985</v>
      </c>
      <c r="L12" s="366"/>
    </row>
    <row r="13" spans="1:12" ht="21" customHeight="1" x14ac:dyDescent="0.2">
      <c r="A13" s="151"/>
      <c r="B13" s="361"/>
      <c r="C13" s="369"/>
      <c r="D13" s="362" t="s">
        <v>149</v>
      </c>
      <c r="E13" s="364">
        <v>2257686.5499999998</v>
      </c>
      <c r="F13" s="364">
        <v>50000</v>
      </c>
      <c r="G13" s="364">
        <v>1830000</v>
      </c>
      <c r="H13" s="364">
        <f t="shared" si="1"/>
        <v>477686.54999999981</v>
      </c>
      <c r="I13" s="364"/>
      <c r="J13" s="364">
        <f>321508.81+156177.74</f>
        <v>477686.55</v>
      </c>
      <c r="K13" s="365">
        <f t="shared" si="2"/>
        <v>0</v>
      </c>
      <c r="L13" s="366"/>
    </row>
    <row r="14" spans="1:12" ht="20.25" customHeight="1" x14ac:dyDescent="0.2">
      <c r="A14" s="151"/>
      <c r="B14" s="361"/>
      <c r="C14" s="369"/>
      <c r="D14" s="362" t="s">
        <v>150</v>
      </c>
      <c r="E14" s="364">
        <v>2115019.4300000002</v>
      </c>
      <c r="F14" s="364"/>
      <c r="G14" s="364">
        <v>6000</v>
      </c>
      <c r="H14" s="364">
        <f t="shared" si="1"/>
        <v>2109019.4300000002</v>
      </c>
      <c r="I14" s="364"/>
      <c r="J14" s="364">
        <f>78067.5+41233.45+284445+20357.7-0.02</f>
        <v>424103.63</v>
      </c>
      <c r="K14" s="365">
        <f t="shared" si="2"/>
        <v>1684915.8000000003</v>
      </c>
      <c r="L14" s="366"/>
    </row>
    <row r="15" spans="1:12" ht="21" customHeight="1" x14ac:dyDescent="0.2">
      <c r="A15" s="64"/>
      <c r="B15" s="361"/>
      <c r="C15" s="369"/>
      <c r="D15" s="362" t="s">
        <v>151</v>
      </c>
      <c r="E15" s="364">
        <v>25833143.879999999</v>
      </c>
      <c r="F15" s="364">
        <v>2000061.61</v>
      </c>
      <c r="G15" s="364"/>
      <c r="H15" s="364">
        <f t="shared" si="1"/>
        <v>27833205.489999998</v>
      </c>
      <c r="I15" s="364">
        <v>1911652.86</v>
      </c>
      <c r="J15" s="364">
        <v>4014714.52</v>
      </c>
      <c r="K15" s="365">
        <f t="shared" si="2"/>
        <v>25730143.829999998</v>
      </c>
      <c r="L15" s="366"/>
    </row>
    <row r="16" spans="1:12" ht="21" customHeight="1" x14ac:dyDescent="0.2">
      <c r="A16" s="152"/>
      <c r="B16" s="361"/>
      <c r="C16" s="369"/>
      <c r="D16" s="362" t="s">
        <v>152</v>
      </c>
      <c r="E16" s="364">
        <v>2518177.2799999998</v>
      </c>
      <c r="F16" s="364"/>
      <c r="G16" s="364"/>
      <c r="H16" s="364">
        <f t="shared" si="1"/>
        <v>2518177.2799999998</v>
      </c>
      <c r="I16" s="364"/>
      <c r="J16" s="364">
        <v>6250</v>
      </c>
      <c r="K16" s="365">
        <f t="shared" si="2"/>
        <v>2511927.2799999998</v>
      </c>
      <c r="L16" s="366"/>
    </row>
    <row r="17" spans="1:12" ht="21" customHeight="1" x14ac:dyDescent="0.2">
      <c r="A17" s="152"/>
      <c r="B17" s="361"/>
      <c r="C17" s="369"/>
      <c r="D17" s="362" t="s">
        <v>153</v>
      </c>
      <c r="E17" s="364">
        <v>504031.36</v>
      </c>
      <c r="F17" s="364"/>
      <c r="G17" s="364"/>
      <c r="H17" s="364">
        <f t="shared" si="1"/>
        <v>504031.36</v>
      </c>
      <c r="I17" s="364"/>
      <c r="J17" s="364">
        <v>28840.86</v>
      </c>
      <c r="K17" s="365">
        <f t="shared" si="2"/>
        <v>475190.5</v>
      </c>
      <c r="L17" s="366"/>
    </row>
    <row r="18" spans="1:12" ht="21" customHeight="1" x14ac:dyDescent="0.2">
      <c r="A18" s="152"/>
      <c r="B18" s="361"/>
      <c r="C18" s="369"/>
      <c r="D18" s="362" t="s">
        <v>154</v>
      </c>
      <c r="E18" s="364">
        <v>1646975.51</v>
      </c>
      <c r="F18" s="364"/>
      <c r="G18" s="364"/>
      <c r="H18" s="364">
        <f t="shared" si="1"/>
        <v>1646975.51</v>
      </c>
      <c r="I18" s="364"/>
      <c r="J18" s="364"/>
      <c r="K18" s="365">
        <f t="shared" si="2"/>
        <v>1646975.51</v>
      </c>
      <c r="L18" s="366"/>
    </row>
    <row r="19" spans="1:12" ht="21" customHeight="1" x14ac:dyDescent="0.2">
      <c r="A19" s="152"/>
      <c r="B19" s="361"/>
      <c r="C19" s="369"/>
      <c r="D19" s="362" t="s">
        <v>155</v>
      </c>
      <c r="E19" s="364">
        <v>55997.5</v>
      </c>
      <c r="F19" s="364"/>
      <c r="G19" s="364"/>
      <c r="H19" s="364">
        <f t="shared" si="1"/>
        <v>55997.5</v>
      </c>
      <c r="I19" s="364"/>
      <c r="J19" s="364"/>
      <c r="K19" s="365">
        <f t="shared" si="2"/>
        <v>55997.5</v>
      </c>
      <c r="L19" s="366"/>
    </row>
    <row r="20" spans="1:12" ht="19.5" customHeight="1" x14ac:dyDescent="0.2">
      <c r="A20" s="151"/>
      <c r="B20" s="361"/>
      <c r="C20" s="369"/>
      <c r="D20" s="362" t="s">
        <v>156</v>
      </c>
      <c r="E20" s="364">
        <v>252033.62</v>
      </c>
      <c r="F20" s="364"/>
      <c r="G20" s="364"/>
      <c r="H20" s="364">
        <f t="shared" si="1"/>
        <v>252033.62</v>
      </c>
      <c r="I20" s="364"/>
      <c r="J20" s="364">
        <v>2285.7600000000002</v>
      </c>
      <c r="K20" s="365">
        <f t="shared" si="2"/>
        <v>249747.86</v>
      </c>
      <c r="L20" s="366"/>
    </row>
    <row r="21" spans="1:12" ht="3" customHeight="1" x14ac:dyDescent="0.35">
      <c r="A21" s="152"/>
      <c r="B21" s="120"/>
      <c r="C21" s="117"/>
      <c r="D21" s="121" t="s">
        <v>157</v>
      </c>
      <c r="E21" s="118">
        <v>0</v>
      </c>
      <c r="F21" s="118">
        <v>0</v>
      </c>
      <c r="G21" s="118">
        <v>0</v>
      </c>
      <c r="H21" s="118">
        <f t="shared" si="1"/>
        <v>0</v>
      </c>
      <c r="I21" s="118">
        <v>0</v>
      </c>
      <c r="J21" s="118">
        <v>0</v>
      </c>
      <c r="K21" s="119">
        <f t="shared" si="2"/>
        <v>0</v>
      </c>
      <c r="L21" s="65"/>
    </row>
    <row r="22" spans="1:12" ht="21" customHeight="1" x14ac:dyDescent="0.35">
      <c r="A22" s="152"/>
      <c r="B22" s="120"/>
      <c r="C22" s="122" t="s">
        <v>158</v>
      </c>
      <c r="D22" s="121"/>
      <c r="E22" s="132">
        <f t="shared" ref="E22:J22" si="3">SUM(E23:E25)</f>
        <v>46216987.689999998</v>
      </c>
      <c r="F22" s="132">
        <f t="shared" si="3"/>
        <v>0</v>
      </c>
      <c r="G22" s="132">
        <f t="shared" si="3"/>
        <v>0</v>
      </c>
      <c r="H22" s="132">
        <f t="shared" si="3"/>
        <v>46216987.689999998</v>
      </c>
      <c r="I22" s="132">
        <f t="shared" si="3"/>
        <v>0</v>
      </c>
      <c r="J22" s="132">
        <f t="shared" si="3"/>
        <v>0</v>
      </c>
      <c r="K22" s="133">
        <f t="shared" ref="K22:K27" si="4">+H22+I22-J22</f>
        <v>46216987.689999998</v>
      </c>
      <c r="L22" s="65"/>
    </row>
    <row r="23" spans="1:12" ht="18" customHeight="1" x14ac:dyDescent="0.2">
      <c r="A23" s="152"/>
      <c r="B23" s="361"/>
      <c r="C23" s="369"/>
      <c r="D23" s="362" t="s">
        <v>147</v>
      </c>
      <c r="E23" s="364">
        <v>14032640.65</v>
      </c>
      <c r="F23" s="364"/>
      <c r="G23" s="364"/>
      <c r="H23" s="364">
        <f>+E23+F23-G23</f>
        <v>14032640.65</v>
      </c>
      <c r="I23" s="364"/>
      <c r="J23" s="364"/>
      <c r="K23" s="365">
        <f t="shared" si="4"/>
        <v>14032640.65</v>
      </c>
      <c r="L23" s="366"/>
    </row>
    <row r="24" spans="1:12" ht="21" customHeight="1" x14ac:dyDescent="0.2">
      <c r="A24" s="152"/>
      <c r="B24" s="361"/>
      <c r="C24" s="369"/>
      <c r="D24" s="362" t="s">
        <v>159</v>
      </c>
      <c r="E24" s="364">
        <v>28571428.57</v>
      </c>
      <c r="F24" s="364"/>
      <c r="G24" s="364"/>
      <c r="H24" s="364">
        <f>+E24+F24-G24</f>
        <v>28571428.57</v>
      </c>
      <c r="I24" s="364"/>
      <c r="J24" s="364"/>
      <c r="K24" s="365">
        <f t="shared" si="4"/>
        <v>28571428.57</v>
      </c>
      <c r="L24" s="366"/>
    </row>
    <row r="25" spans="1:12" ht="21" customHeight="1" x14ac:dyDescent="0.35">
      <c r="A25" s="152"/>
      <c r="B25" s="361"/>
      <c r="C25" s="369"/>
      <c r="D25" s="362" t="s">
        <v>148</v>
      </c>
      <c r="E25" s="371">
        <v>3612918.47</v>
      </c>
      <c r="F25" s="371">
        <v>0</v>
      </c>
      <c r="G25" s="371">
        <v>0</v>
      </c>
      <c r="H25" s="371">
        <f>+E25+F25-G25</f>
        <v>3612918.47</v>
      </c>
      <c r="I25" s="371">
        <v>0</v>
      </c>
      <c r="J25" s="371">
        <v>0</v>
      </c>
      <c r="K25" s="370">
        <f t="shared" si="4"/>
        <v>3612918.47</v>
      </c>
      <c r="L25" s="366"/>
    </row>
    <row r="26" spans="1:12" ht="21" customHeight="1" x14ac:dyDescent="0.35">
      <c r="A26" s="152"/>
      <c r="B26" s="120"/>
      <c r="C26" s="122" t="s">
        <v>199</v>
      </c>
      <c r="D26" s="121"/>
      <c r="E26" s="132">
        <f>+E27</f>
        <v>0</v>
      </c>
      <c r="F26" s="132">
        <f>SUM(F27:F28)</f>
        <v>0</v>
      </c>
      <c r="G26" s="132">
        <f>SUM(G27:G28)</f>
        <v>0</v>
      </c>
      <c r="H26" s="132">
        <f>+H27</f>
        <v>0</v>
      </c>
      <c r="I26" s="132">
        <f>SUM(I27:I28)</f>
        <v>1488764</v>
      </c>
      <c r="J26" s="132">
        <f>SUM(J27:J28)</f>
        <v>0</v>
      </c>
      <c r="K26" s="133">
        <f t="shared" si="4"/>
        <v>1488764</v>
      </c>
      <c r="L26" s="65"/>
    </row>
    <row r="27" spans="1:12" ht="21" customHeight="1" x14ac:dyDescent="0.35">
      <c r="A27" s="152"/>
      <c r="B27" s="361"/>
      <c r="C27" s="369"/>
      <c r="D27" s="362" t="s">
        <v>200</v>
      </c>
      <c r="E27" s="364">
        <v>0</v>
      </c>
      <c r="F27" s="364"/>
      <c r="G27" s="364"/>
      <c r="H27" s="364">
        <f>+E27+F27-G27</f>
        <v>0</v>
      </c>
      <c r="I27" s="364">
        <v>1488764</v>
      </c>
      <c r="J27" s="364"/>
      <c r="K27" s="370">
        <f t="shared" si="4"/>
        <v>1488764</v>
      </c>
      <c r="L27" s="366"/>
    </row>
    <row r="28" spans="1:12" ht="6" customHeight="1" x14ac:dyDescent="0.25">
      <c r="A28" s="152"/>
      <c r="B28" s="120"/>
      <c r="C28" s="117"/>
      <c r="D28" s="117"/>
      <c r="E28" s="123"/>
      <c r="F28" s="123"/>
      <c r="G28" s="123"/>
      <c r="H28" s="123"/>
      <c r="I28" s="123"/>
      <c r="J28" s="123"/>
      <c r="K28" s="124"/>
      <c r="L28" s="65"/>
    </row>
    <row r="29" spans="1:12" ht="21" customHeight="1" x14ac:dyDescent="0.25">
      <c r="A29" s="64"/>
      <c r="B29" s="115" t="s">
        <v>223</v>
      </c>
      <c r="C29" s="116"/>
      <c r="D29" s="117"/>
      <c r="E29" s="128">
        <f t="shared" ref="E29:K29" si="5">+E30+E32+E31</f>
        <v>57572331.090000004</v>
      </c>
      <c r="F29" s="128">
        <f t="shared" si="5"/>
        <v>20861944.449999999</v>
      </c>
      <c r="G29" s="128">
        <f t="shared" si="5"/>
        <v>3401368.98</v>
      </c>
      <c r="H29" s="128">
        <f t="shared" si="5"/>
        <v>75032906.560000002</v>
      </c>
      <c r="I29" s="128">
        <f t="shared" si="5"/>
        <v>7559472.6299999999</v>
      </c>
      <c r="J29" s="128">
        <f t="shared" si="5"/>
        <v>6333980.0899999999</v>
      </c>
      <c r="K29" s="129">
        <f t="shared" si="5"/>
        <v>76258399.099999994</v>
      </c>
      <c r="L29" s="65"/>
    </row>
    <row r="30" spans="1:12" ht="21" customHeight="1" x14ac:dyDescent="0.2">
      <c r="A30" s="64"/>
      <c r="B30" s="361"/>
      <c r="C30" s="362" t="s">
        <v>160</v>
      </c>
      <c r="D30" s="363"/>
      <c r="E30" s="364">
        <v>8364164.3200000003</v>
      </c>
      <c r="F30" s="364">
        <v>1535722.5</v>
      </c>
      <c r="G30" s="364">
        <v>3401368.98</v>
      </c>
      <c r="H30" s="364">
        <f>+E30+F30-G30</f>
        <v>6498517.8399999999</v>
      </c>
      <c r="I30" s="364">
        <f>2465862.82+68970.14</f>
        <v>2534832.96</v>
      </c>
      <c r="J30" s="364">
        <v>34320.620000000003</v>
      </c>
      <c r="K30" s="365">
        <f>+H30+I30-J30</f>
        <v>8999030.1800000016</v>
      </c>
      <c r="L30" s="366"/>
    </row>
    <row r="31" spans="1:12" ht="21" customHeight="1" x14ac:dyDescent="0.2">
      <c r="A31" s="64"/>
      <c r="B31" s="361"/>
      <c r="C31" s="362" t="s">
        <v>161</v>
      </c>
      <c r="D31" s="363"/>
      <c r="E31" s="364">
        <v>49208166.770000003</v>
      </c>
      <c r="F31" s="364"/>
      <c r="G31" s="364"/>
      <c r="H31" s="364">
        <f>+E31+G31-F31</f>
        <v>49208166.770000003</v>
      </c>
      <c r="I31" s="364"/>
      <c r="J31" s="364"/>
      <c r="K31" s="365">
        <f>+H31+J31-I31</f>
        <v>49208166.770000003</v>
      </c>
      <c r="L31" s="366"/>
    </row>
    <row r="32" spans="1:12" ht="20.25" customHeight="1" x14ac:dyDescent="0.2">
      <c r="A32" s="64"/>
      <c r="B32" s="361"/>
      <c r="C32" s="362" t="s">
        <v>197</v>
      </c>
      <c r="D32" s="363"/>
      <c r="E32" s="364">
        <v>0</v>
      </c>
      <c r="F32" s="364">
        <v>19326221.949999999</v>
      </c>
      <c r="G32" s="364"/>
      <c r="H32" s="364">
        <f>+E32+F32-G32</f>
        <v>19326221.949999999</v>
      </c>
      <c r="I32" s="364">
        <f>121309.49+399428.87+1362133.97+781633.52+146839.31+34000+188006.91+1991287.6</f>
        <v>5024639.67</v>
      </c>
      <c r="J32" s="364">
        <f>1441113.68+1055084.32+159710.07+3643751.4</f>
        <v>6299659.4699999997</v>
      </c>
      <c r="K32" s="365">
        <f>+H32+I32-J32</f>
        <v>18051202.149999999</v>
      </c>
      <c r="L32" s="366"/>
    </row>
    <row r="33" spans="1:12" ht="8.25" customHeight="1" x14ac:dyDescent="0.25">
      <c r="A33" s="64"/>
      <c r="B33" s="120"/>
      <c r="C33" s="117"/>
      <c r="D33" s="117"/>
      <c r="E33" s="123"/>
      <c r="F33" s="123"/>
      <c r="G33" s="123"/>
      <c r="H33" s="123"/>
      <c r="I33" s="123"/>
      <c r="J33" s="123"/>
      <c r="K33" s="124"/>
      <c r="L33" s="65"/>
    </row>
    <row r="34" spans="1:12" ht="21" customHeight="1" x14ac:dyDescent="0.25">
      <c r="A34" s="64"/>
      <c r="B34" s="115" t="s">
        <v>24</v>
      </c>
      <c r="C34" s="116"/>
      <c r="D34" s="117"/>
      <c r="E34" s="128">
        <f>+E35+E36</f>
        <v>-204942929.41</v>
      </c>
      <c r="F34" s="128">
        <f t="shared" ref="F34:K34" si="6">+F35+F36</f>
        <v>1342144.67</v>
      </c>
      <c r="G34" s="128">
        <f t="shared" si="6"/>
        <v>20946966.41</v>
      </c>
      <c r="H34" s="128">
        <f t="shared" si="6"/>
        <v>-224547751.15000001</v>
      </c>
      <c r="I34" s="128">
        <f t="shared" si="6"/>
        <v>5192129.6800000006</v>
      </c>
      <c r="J34" s="128">
        <f t="shared" si="6"/>
        <v>13426304.15</v>
      </c>
      <c r="K34" s="129">
        <f t="shared" si="6"/>
        <v>-232781925.62</v>
      </c>
      <c r="L34" s="65"/>
    </row>
    <row r="35" spans="1:12" ht="21" customHeight="1" x14ac:dyDescent="0.2">
      <c r="A35" s="64"/>
      <c r="B35" s="361"/>
      <c r="C35" s="362" t="s">
        <v>162</v>
      </c>
      <c r="D35" s="363"/>
      <c r="E35" s="364">
        <v>-204461867.15000001</v>
      </c>
      <c r="F35" s="364">
        <f>861082.41</f>
        <v>861082.41</v>
      </c>
      <c r="G35" s="364">
        <f>117084.47+928488.2+481062.26+19326221.95</f>
        <v>20852856.879999999</v>
      </c>
      <c r="H35" s="364">
        <f>+E35+F35-G35</f>
        <v>-224453641.62</v>
      </c>
      <c r="I35" s="364">
        <f>15477.72+4969145.19+108163.3+5233.94</f>
        <v>5098020.1500000004</v>
      </c>
      <c r="J35" s="364">
        <f>94109.53+4231.09+4193848.92+8256220.64</f>
        <v>12548410.18</v>
      </c>
      <c r="K35" s="365">
        <f>+H35+I35-J35</f>
        <v>-231904031.65000001</v>
      </c>
      <c r="L35" s="366"/>
    </row>
    <row r="36" spans="1:12" ht="21" customHeight="1" x14ac:dyDescent="0.2">
      <c r="A36" s="153"/>
      <c r="B36" s="361"/>
      <c r="C36" s="362" t="s">
        <v>163</v>
      </c>
      <c r="D36" s="363"/>
      <c r="E36" s="367">
        <v>-481062.26</v>
      </c>
      <c r="F36" s="367">
        <f>481062.26</f>
        <v>481062.26</v>
      </c>
      <c r="G36" s="367">
        <v>94109.53</v>
      </c>
      <c r="H36" s="367">
        <f>+E36+F36-G36</f>
        <v>-94109.53</v>
      </c>
      <c r="I36" s="367">
        <v>94109.53</v>
      </c>
      <c r="J36" s="367">
        <v>877893.97</v>
      </c>
      <c r="K36" s="368">
        <f>+H36+I36-J36</f>
        <v>-877893.97</v>
      </c>
      <c r="L36" s="366"/>
    </row>
    <row r="37" spans="1:12" ht="21" customHeight="1" x14ac:dyDescent="0.25">
      <c r="A37" s="64"/>
      <c r="B37" s="125"/>
      <c r="C37" s="126"/>
      <c r="D37" s="127" t="s">
        <v>25</v>
      </c>
      <c r="E37" s="131">
        <f t="shared" ref="E37:K37" si="7">+E9+E29+E34</f>
        <v>-28005148.879999995</v>
      </c>
      <c r="F37" s="131">
        <f t="shared" si="7"/>
        <v>26859874.869999997</v>
      </c>
      <c r="G37" s="131">
        <f t="shared" si="7"/>
        <v>26338335.399999999</v>
      </c>
      <c r="H37" s="131">
        <f t="shared" si="7"/>
        <v>-27483609.409999996</v>
      </c>
      <c r="I37" s="131">
        <f t="shared" si="7"/>
        <v>22914931.169999998</v>
      </c>
      <c r="J37" s="131">
        <f t="shared" si="7"/>
        <v>27270930.539999999</v>
      </c>
      <c r="K37" s="130">
        <f t="shared" si="7"/>
        <v>-31839608.780000031</v>
      </c>
      <c r="L37" s="65"/>
    </row>
    <row r="38" spans="1:12" ht="4.5" customHeight="1" thickBot="1" x14ac:dyDescent="0.3">
      <c r="A38" s="64"/>
      <c r="B38" s="70"/>
      <c r="C38" s="71"/>
      <c r="D38" s="72"/>
      <c r="E38" s="73"/>
      <c r="F38" s="74"/>
      <c r="G38" s="74"/>
      <c r="H38" s="74"/>
      <c r="I38" s="74"/>
      <c r="J38" s="74"/>
      <c r="K38" s="105"/>
      <c r="L38" s="65"/>
    </row>
    <row r="39" spans="1:12" x14ac:dyDescent="0.2">
      <c r="A39" s="64"/>
      <c r="B39" s="75"/>
      <c r="C39" s="75"/>
      <c r="D39" s="76"/>
      <c r="E39" s="77"/>
      <c r="F39" s="78"/>
      <c r="G39" s="78"/>
      <c r="H39" s="78"/>
      <c r="I39" s="78"/>
      <c r="J39" s="78"/>
      <c r="K39" s="78"/>
      <c r="L39" s="65"/>
    </row>
    <row r="40" spans="1:12" x14ac:dyDescent="0.2">
      <c r="A40" s="64"/>
      <c r="B40" s="75"/>
      <c r="C40" s="75"/>
      <c r="D40" s="76"/>
      <c r="E40" s="77"/>
      <c r="F40" s="78"/>
      <c r="G40" s="78"/>
      <c r="H40" s="78"/>
      <c r="I40" s="78"/>
      <c r="J40" s="78"/>
      <c r="K40" s="78"/>
      <c r="L40" s="65"/>
    </row>
    <row r="41" spans="1:12" x14ac:dyDescent="0.2">
      <c r="A41" s="64"/>
      <c r="B41" s="75"/>
      <c r="C41" s="75"/>
      <c r="D41" s="76"/>
      <c r="E41" s="77"/>
      <c r="F41" s="78"/>
      <c r="G41" s="78"/>
      <c r="H41" s="78"/>
      <c r="I41" s="78"/>
      <c r="J41" s="78"/>
      <c r="K41" s="78"/>
      <c r="L41" s="65"/>
    </row>
    <row r="42" spans="1:12" x14ac:dyDescent="0.2">
      <c r="A42" s="64"/>
      <c r="B42" s="75"/>
      <c r="C42" s="75"/>
      <c r="D42" s="76"/>
      <c r="E42" s="77"/>
      <c r="F42" s="78"/>
      <c r="G42" s="78"/>
      <c r="H42" s="78"/>
      <c r="I42" s="78"/>
      <c r="J42" s="78"/>
      <c r="K42" s="78"/>
      <c r="L42" s="65"/>
    </row>
    <row r="43" spans="1:12" x14ac:dyDescent="0.2">
      <c r="A43" s="64"/>
      <c r="B43" s="75"/>
      <c r="C43" s="75"/>
      <c r="D43" s="76"/>
      <c r="E43" s="77"/>
      <c r="F43" s="78"/>
      <c r="G43" s="78"/>
      <c r="H43" s="78"/>
      <c r="I43" s="78"/>
      <c r="J43" s="78"/>
      <c r="K43" s="78"/>
      <c r="L43" s="65"/>
    </row>
    <row r="44" spans="1:12" x14ac:dyDescent="0.2">
      <c r="A44" s="64"/>
      <c r="B44" s="75"/>
      <c r="C44" s="75"/>
      <c r="D44" s="76"/>
      <c r="E44" s="77"/>
      <c r="F44" s="78"/>
      <c r="G44" s="78"/>
      <c r="H44" s="78"/>
      <c r="I44" s="78"/>
      <c r="J44" s="78"/>
      <c r="K44" s="78"/>
      <c r="L44" s="65"/>
    </row>
    <row r="45" spans="1:12" x14ac:dyDescent="0.2">
      <c r="A45" s="64"/>
      <c r="B45" s="75"/>
      <c r="C45" s="75"/>
      <c r="D45" s="76"/>
      <c r="E45" s="77"/>
      <c r="F45" s="78"/>
      <c r="G45" s="78"/>
      <c r="H45" s="78"/>
      <c r="I45" s="78"/>
      <c r="J45" s="78"/>
      <c r="K45" s="78"/>
      <c r="L45" s="65"/>
    </row>
    <row r="46" spans="1:12" x14ac:dyDescent="0.2">
      <c r="A46" s="64"/>
      <c r="B46" s="390"/>
      <c r="C46" s="390"/>
      <c r="D46" s="390"/>
      <c r="E46" s="391"/>
      <c r="F46" s="391"/>
      <c r="H46" s="392"/>
      <c r="I46" s="392"/>
      <c r="J46" s="392"/>
      <c r="K46" s="392"/>
      <c r="L46" s="65"/>
    </row>
    <row r="47" spans="1:12" x14ac:dyDescent="0.2">
      <c r="A47" s="64"/>
      <c r="B47" s="386" t="s">
        <v>164</v>
      </c>
      <c r="C47" s="386"/>
      <c r="D47" s="386"/>
      <c r="F47" s="61" t="s">
        <v>165</v>
      </c>
      <c r="G47" s="61"/>
      <c r="I47" s="79" t="s">
        <v>166</v>
      </c>
      <c r="J47" s="79"/>
      <c r="L47" s="65"/>
    </row>
    <row r="48" spans="1:12" ht="33" customHeight="1" thickBot="1" x14ac:dyDescent="0.25">
      <c r="A48" s="80"/>
      <c r="B48" s="81"/>
      <c r="C48" s="81"/>
      <c r="D48" s="81"/>
      <c r="E48" s="81"/>
      <c r="F48" s="82"/>
      <c r="G48" s="82"/>
      <c r="H48" s="82"/>
      <c r="I48" s="82"/>
      <c r="J48" s="82"/>
      <c r="K48" s="82"/>
      <c r="L48" s="83"/>
    </row>
    <row r="49" spans="6:11" x14ac:dyDescent="0.2">
      <c r="F49" s="11"/>
      <c r="G49" s="11"/>
      <c r="H49" s="11"/>
      <c r="I49" s="11"/>
      <c r="J49" s="11"/>
      <c r="K49" s="11"/>
    </row>
    <row r="50" spans="6:11" x14ac:dyDescent="0.2">
      <c r="F50" s="11"/>
      <c r="G50" s="11"/>
      <c r="H50" s="11"/>
      <c r="I50" s="11"/>
      <c r="J50" s="11"/>
      <c r="K50" s="11"/>
    </row>
    <row r="51" spans="6:11" x14ac:dyDescent="0.2">
      <c r="F51" s="11"/>
      <c r="G51" s="11"/>
      <c r="H51" s="11"/>
      <c r="I51" s="11"/>
      <c r="J51" s="11"/>
      <c r="K51" s="11"/>
    </row>
    <row r="52" spans="6:11" x14ac:dyDescent="0.2">
      <c r="F52" s="11"/>
      <c r="G52" s="11"/>
      <c r="H52" s="11"/>
      <c r="I52" s="11"/>
      <c r="J52" s="11"/>
      <c r="K52" s="11"/>
    </row>
    <row r="53" spans="6:11" x14ac:dyDescent="0.2">
      <c r="F53" s="11"/>
      <c r="G53" s="11"/>
      <c r="H53" s="11"/>
      <c r="I53" s="11"/>
      <c r="J53" s="11"/>
      <c r="K53" s="11"/>
    </row>
    <row r="54" spans="6:11" x14ac:dyDescent="0.2">
      <c r="F54" s="11"/>
      <c r="G54" s="11"/>
      <c r="H54" s="11"/>
      <c r="I54" s="11"/>
      <c r="J54" s="11"/>
      <c r="K54" s="11"/>
    </row>
    <row r="55" spans="6:11" x14ac:dyDescent="0.2">
      <c r="F55" s="11"/>
      <c r="G55" s="11"/>
      <c r="H55" s="11"/>
      <c r="I55" s="11"/>
      <c r="J55" s="11"/>
      <c r="K55" s="11"/>
    </row>
    <row r="56" spans="6:11" x14ac:dyDescent="0.2">
      <c r="F56" s="11"/>
      <c r="G56" s="11"/>
      <c r="H56" s="11"/>
      <c r="I56" s="11"/>
      <c r="J56" s="11"/>
      <c r="K56" s="11"/>
    </row>
    <row r="57" spans="6:11" x14ac:dyDescent="0.2">
      <c r="F57" s="11"/>
      <c r="G57" s="11"/>
      <c r="H57" s="11"/>
      <c r="I57" s="11"/>
      <c r="J57" s="11"/>
      <c r="K57" s="11"/>
    </row>
    <row r="58" spans="6:11" x14ac:dyDescent="0.2">
      <c r="F58" s="11"/>
      <c r="G58" s="11"/>
      <c r="H58" s="11"/>
      <c r="I58" s="11"/>
      <c r="J58" s="11"/>
      <c r="K58" s="11"/>
    </row>
    <row r="59" spans="6:11" x14ac:dyDescent="0.2">
      <c r="F59" s="11"/>
      <c r="G59" s="11"/>
      <c r="H59" s="11"/>
      <c r="I59" s="11"/>
      <c r="J59" s="11"/>
      <c r="K59" s="11"/>
    </row>
    <row r="60" spans="6:11" x14ac:dyDescent="0.2">
      <c r="F60" s="11"/>
      <c r="G60" s="11"/>
      <c r="H60" s="11"/>
      <c r="I60" s="11"/>
      <c r="J60" s="11"/>
      <c r="K60" s="11"/>
    </row>
    <row r="61" spans="6:11" x14ac:dyDescent="0.2">
      <c r="F61" s="11"/>
      <c r="G61" s="11"/>
      <c r="H61" s="11"/>
      <c r="I61" s="11"/>
      <c r="J61" s="11"/>
      <c r="K61" s="11"/>
    </row>
    <row r="62" spans="6:11" x14ac:dyDescent="0.2">
      <c r="F62" s="11"/>
      <c r="G62" s="11"/>
      <c r="H62" s="11"/>
      <c r="I62" s="11"/>
      <c r="J62" s="11"/>
      <c r="K62" s="11"/>
    </row>
    <row r="63" spans="6:11" x14ac:dyDescent="0.2">
      <c r="F63" s="11"/>
      <c r="G63" s="11"/>
      <c r="H63" s="11"/>
      <c r="I63" s="11"/>
      <c r="J63" s="11"/>
      <c r="K63" s="11"/>
    </row>
    <row r="64" spans="6:11" x14ac:dyDescent="0.2">
      <c r="F64" s="11"/>
      <c r="G64" s="11"/>
      <c r="H64" s="11"/>
      <c r="I64" s="11"/>
      <c r="J64" s="11"/>
      <c r="K64" s="11"/>
    </row>
    <row r="65" spans="6:11" x14ac:dyDescent="0.2">
      <c r="F65" s="11"/>
      <c r="G65" s="11"/>
      <c r="H65" s="11"/>
      <c r="I65" s="11"/>
      <c r="J65" s="11"/>
      <c r="K65" s="11"/>
    </row>
    <row r="66" spans="6:11" x14ac:dyDescent="0.2">
      <c r="F66" s="11"/>
      <c r="G66" s="11"/>
      <c r="H66" s="11"/>
      <c r="I66" s="11"/>
      <c r="J66" s="11"/>
      <c r="K66" s="11"/>
    </row>
    <row r="67" spans="6:11" x14ac:dyDescent="0.2">
      <c r="F67" s="11"/>
      <c r="G67" s="11"/>
      <c r="H67" s="11"/>
      <c r="I67" s="11"/>
      <c r="J67" s="11"/>
      <c r="K67" s="11"/>
    </row>
    <row r="68" spans="6:11" x14ac:dyDescent="0.2">
      <c r="F68" s="11"/>
      <c r="G68" s="11"/>
      <c r="H68" s="11"/>
      <c r="I68" s="11"/>
      <c r="J68" s="11"/>
      <c r="K68" s="11"/>
    </row>
  </sheetData>
  <mergeCells count="8">
    <mergeCell ref="B47:D47"/>
    <mergeCell ref="B2:K2"/>
    <mergeCell ref="B4:K4"/>
    <mergeCell ref="B5:K5"/>
    <mergeCell ref="B46:D46"/>
    <mergeCell ref="E46:F46"/>
    <mergeCell ref="H46:I46"/>
    <mergeCell ref="J46:K46"/>
  </mergeCells>
  <phoneticPr fontId="11" type="noConversion"/>
  <pageMargins left="0.75" right="0.6" top="0.5" bottom="0.48" header="0" footer="0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9"/>
  <sheetViews>
    <sheetView workbookViewId="0">
      <selection activeCell="O8" sqref="O8"/>
    </sheetView>
  </sheetViews>
  <sheetFormatPr baseColWidth="10" defaultRowHeight="12.75" x14ac:dyDescent="0.2"/>
  <cols>
    <col min="1" max="1" width="5.85546875" customWidth="1"/>
    <col min="2" max="2" width="2" customWidth="1"/>
    <col min="3" max="3" width="1" customWidth="1"/>
    <col min="4" max="4" width="3.7109375" customWidth="1"/>
    <col min="5" max="5" width="2" customWidth="1"/>
    <col min="6" max="6" width="69.28515625" bestFit="1" customWidth="1"/>
    <col min="7" max="7" width="4.85546875" customWidth="1"/>
    <col min="8" max="8" width="16.5703125" bestFit="1" customWidth="1"/>
    <col min="9" max="9" width="4.5703125" customWidth="1"/>
    <col min="10" max="10" width="16.5703125" bestFit="1" customWidth="1"/>
    <col min="11" max="13" width="2.85546875" customWidth="1"/>
    <col min="15" max="15" width="15" customWidth="1"/>
  </cols>
  <sheetData>
    <row r="2" spans="2:13" ht="13.5" thickBot="1" x14ac:dyDescent="0.25"/>
    <row r="3" spans="2:13" ht="15" x14ac:dyDescent="0.2">
      <c r="B3" s="84"/>
      <c r="C3" s="85"/>
      <c r="D3" s="85"/>
      <c r="E3" s="85"/>
      <c r="F3" s="85"/>
      <c r="G3" s="85"/>
      <c r="H3" s="134"/>
      <c r="I3" s="85"/>
      <c r="J3" s="134"/>
      <c r="K3" s="85"/>
      <c r="L3" s="85"/>
      <c r="M3" s="86"/>
    </row>
    <row r="4" spans="2:13" ht="18" x14ac:dyDescent="0.35">
      <c r="B4" s="87"/>
      <c r="C4" s="88"/>
      <c r="D4" s="88"/>
      <c r="E4" s="393" t="s">
        <v>20</v>
      </c>
      <c r="F4" s="393"/>
      <c r="G4" s="393"/>
      <c r="H4" s="393"/>
      <c r="I4" s="393"/>
      <c r="J4" s="393"/>
      <c r="K4" s="393"/>
      <c r="L4" s="393"/>
      <c r="M4" s="89"/>
    </row>
    <row r="5" spans="2:13" ht="9.75" customHeight="1" x14ac:dyDescent="0.35">
      <c r="B5" s="87"/>
      <c r="C5" s="88"/>
      <c r="D5" s="88"/>
      <c r="E5" s="90"/>
      <c r="F5" s="90"/>
      <c r="G5" s="90"/>
      <c r="H5" s="136"/>
      <c r="I5" s="90"/>
      <c r="J5" s="136"/>
      <c r="K5" s="90"/>
      <c r="L5" s="90"/>
      <c r="M5" s="89"/>
    </row>
    <row r="6" spans="2:13" ht="18" x14ac:dyDescent="0.35">
      <c r="B6" s="87"/>
      <c r="C6" s="88"/>
      <c r="D6" s="88"/>
      <c r="E6" s="393" t="s">
        <v>167</v>
      </c>
      <c r="F6" s="393"/>
      <c r="G6" s="393"/>
      <c r="H6" s="393"/>
      <c r="I6" s="393"/>
      <c r="J6" s="393"/>
      <c r="K6" s="393"/>
      <c r="L6" s="393"/>
      <c r="M6" s="89"/>
    </row>
    <row r="7" spans="2:13" ht="18" x14ac:dyDescent="0.35">
      <c r="B7" s="87"/>
      <c r="C7" s="88"/>
      <c r="D7" s="88"/>
      <c r="E7" s="394" t="s">
        <v>215</v>
      </c>
      <c r="F7" s="394"/>
      <c r="G7" s="394"/>
      <c r="H7" s="394"/>
      <c r="I7" s="394"/>
      <c r="J7" s="394"/>
      <c r="K7" s="394"/>
      <c r="L7" s="90"/>
      <c r="M7" s="89"/>
    </row>
    <row r="8" spans="2:13" ht="18" x14ac:dyDescent="0.35">
      <c r="B8" s="87"/>
      <c r="C8" s="88"/>
      <c r="D8" s="88"/>
      <c r="E8" s="394" t="s">
        <v>168</v>
      </c>
      <c r="F8" s="394"/>
      <c r="G8" s="394"/>
      <c r="H8" s="394"/>
      <c r="I8" s="394"/>
      <c r="J8" s="394"/>
      <c r="K8" s="394"/>
      <c r="L8" s="90"/>
      <c r="M8" s="89"/>
    </row>
    <row r="9" spans="2:13" ht="6.75" customHeight="1" x14ac:dyDescent="0.35">
      <c r="B9" s="87"/>
      <c r="C9" s="88"/>
      <c r="D9" s="88"/>
      <c r="E9" s="91"/>
      <c r="F9" s="91"/>
      <c r="G9" s="91"/>
      <c r="H9" s="137"/>
      <c r="I9" s="91"/>
      <c r="J9" s="137"/>
      <c r="K9" s="91"/>
      <c r="L9" s="90"/>
      <c r="M9" s="89"/>
    </row>
    <row r="10" spans="2:13" ht="7.5" customHeight="1" x14ac:dyDescent="0.35">
      <c r="B10" s="87"/>
      <c r="C10" s="88"/>
      <c r="D10" s="92"/>
      <c r="E10" s="93"/>
      <c r="F10" s="93"/>
      <c r="G10" s="93"/>
      <c r="H10" s="138"/>
      <c r="I10" s="93"/>
      <c r="J10" s="138"/>
      <c r="K10" s="93"/>
      <c r="L10" s="94"/>
      <c r="M10" s="89"/>
    </row>
    <row r="11" spans="2:13" ht="20.25" x14ac:dyDescent="0.35">
      <c r="B11" s="87"/>
      <c r="C11" s="88"/>
      <c r="D11" s="95"/>
      <c r="E11" s="90"/>
      <c r="F11" s="90"/>
      <c r="G11" s="90"/>
      <c r="H11" s="150">
        <v>2011</v>
      </c>
      <c r="I11" s="91"/>
      <c r="J11" s="150">
        <v>2010</v>
      </c>
      <c r="K11" s="91"/>
      <c r="L11" s="96"/>
      <c r="M11" s="89"/>
    </row>
    <row r="12" spans="2:13" ht="18" x14ac:dyDescent="0.35">
      <c r="B12" s="87"/>
      <c r="C12" s="88"/>
      <c r="D12" s="95"/>
      <c r="E12" s="90" t="s">
        <v>169</v>
      </c>
      <c r="F12" s="90"/>
      <c r="G12" s="90"/>
      <c r="H12" s="136"/>
      <c r="I12" s="90"/>
      <c r="J12" s="136"/>
      <c r="K12" s="90"/>
      <c r="L12" s="96"/>
      <c r="M12" s="89"/>
    </row>
    <row r="13" spans="2:13" ht="18" x14ac:dyDescent="0.35">
      <c r="B13" s="87"/>
      <c r="C13" s="88"/>
      <c r="D13" s="95"/>
      <c r="E13" s="90"/>
      <c r="F13" s="90" t="s">
        <v>216</v>
      </c>
      <c r="G13" s="90" t="s">
        <v>0</v>
      </c>
      <c r="H13" s="139">
        <v>-877893.97</v>
      </c>
      <c r="I13" s="140"/>
      <c r="J13" s="136">
        <v>-94109.53</v>
      </c>
      <c r="K13" s="140"/>
      <c r="L13" s="96"/>
      <c r="M13" s="89"/>
    </row>
    <row r="14" spans="2:13" ht="36" x14ac:dyDescent="0.35">
      <c r="B14" s="87"/>
      <c r="C14" s="88"/>
      <c r="D14" s="95"/>
      <c r="E14" s="90"/>
      <c r="F14" s="97" t="s">
        <v>170</v>
      </c>
      <c r="G14" s="90"/>
      <c r="H14" s="139"/>
      <c r="I14" s="140"/>
      <c r="J14" s="136"/>
      <c r="K14" s="140"/>
      <c r="L14" s="96"/>
      <c r="M14" s="89"/>
    </row>
    <row r="15" spans="2:13" ht="18" x14ac:dyDescent="0.35">
      <c r="B15" s="87"/>
      <c r="C15" s="88"/>
      <c r="D15" s="95"/>
      <c r="E15" s="90"/>
      <c r="F15" s="90" t="s">
        <v>171</v>
      </c>
      <c r="G15" s="90"/>
      <c r="H15" s="139">
        <v>24416.190000000002</v>
      </c>
      <c r="I15" s="140"/>
      <c r="J15" s="136">
        <v>40959</v>
      </c>
      <c r="K15" s="140"/>
      <c r="L15" s="96"/>
      <c r="M15" s="89"/>
    </row>
    <row r="16" spans="2:13" ht="18" x14ac:dyDescent="0.35">
      <c r="B16" s="87"/>
      <c r="C16" s="88"/>
      <c r="D16" s="95"/>
      <c r="E16" s="90"/>
      <c r="F16" s="90" t="s">
        <v>172</v>
      </c>
      <c r="G16" s="90"/>
      <c r="H16" s="139">
        <v>-2828101.8</v>
      </c>
      <c r="I16" s="140"/>
      <c r="J16" s="136">
        <v>-3883048.75</v>
      </c>
      <c r="K16" s="140"/>
      <c r="L16" s="96"/>
      <c r="M16" s="89"/>
    </row>
    <row r="17" spans="2:13" ht="18" hidden="1" x14ac:dyDescent="0.35">
      <c r="B17" s="87"/>
      <c r="C17" s="88"/>
      <c r="D17" s="95"/>
      <c r="E17" s="90"/>
      <c r="F17" s="90" t="s">
        <v>173</v>
      </c>
      <c r="G17" s="90"/>
      <c r="H17" s="139">
        <v>0</v>
      </c>
      <c r="I17" s="140"/>
      <c r="J17" s="136">
        <v>0</v>
      </c>
      <c r="K17" s="140"/>
      <c r="L17" s="96"/>
      <c r="M17" s="89"/>
    </row>
    <row r="18" spans="2:13" ht="18" hidden="1" x14ac:dyDescent="0.35">
      <c r="B18" s="87"/>
      <c r="C18" s="88"/>
      <c r="D18" s="95"/>
      <c r="E18" s="90"/>
      <c r="F18" s="90" t="s">
        <v>174</v>
      </c>
      <c r="G18" s="90"/>
      <c r="H18" s="139">
        <v>0</v>
      </c>
      <c r="I18" s="140"/>
      <c r="J18" s="136">
        <v>0</v>
      </c>
      <c r="K18" s="140"/>
      <c r="L18" s="96"/>
      <c r="M18" s="89"/>
    </row>
    <row r="19" spans="2:13" ht="18" x14ac:dyDescent="0.35">
      <c r="B19" s="87"/>
      <c r="C19" s="88"/>
      <c r="D19" s="95"/>
      <c r="E19" s="90"/>
      <c r="F19" s="90" t="s">
        <v>175</v>
      </c>
      <c r="G19" s="98"/>
      <c r="H19" s="141">
        <v>2266561.44</v>
      </c>
      <c r="I19" s="142"/>
      <c r="J19" s="143">
        <v>1000923.89</v>
      </c>
      <c r="K19" s="140"/>
      <c r="L19" s="96"/>
      <c r="M19" s="89"/>
    </row>
    <row r="20" spans="2:13" ht="18" x14ac:dyDescent="0.35">
      <c r="B20" s="87"/>
      <c r="C20" s="88"/>
      <c r="D20" s="95"/>
      <c r="E20" s="90"/>
      <c r="F20" s="90" t="s">
        <v>176</v>
      </c>
      <c r="G20" s="90"/>
      <c r="H20" s="136">
        <f>SUM(H13:H19)</f>
        <v>-1415018.1400000001</v>
      </c>
      <c r="I20" s="140"/>
      <c r="J20" s="136">
        <f>SUM(J13:J19)</f>
        <v>-2935275.3899999997</v>
      </c>
      <c r="K20" s="140"/>
      <c r="L20" s="96"/>
      <c r="M20" s="89"/>
    </row>
    <row r="21" spans="2:13" ht="9" customHeight="1" x14ac:dyDescent="0.35">
      <c r="B21" s="87"/>
      <c r="C21" s="88"/>
      <c r="D21" s="95"/>
      <c r="E21" s="90"/>
      <c r="F21" s="90"/>
      <c r="G21" s="90"/>
      <c r="H21" s="136"/>
      <c r="I21" s="140"/>
      <c r="J21" s="136"/>
      <c r="K21" s="140"/>
      <c r="L21" s="96"/>
      <c r="M21" s="89"/>
    </row>
    <row r="22" spans="2:13" ht="18" x14ac:dyDescent="0.35">
      <c r="B22" s="87"/>
      <c r="C22" s="88"/>
      <c r="D22" s="95"/>
      <c r="E22" s="90"/>
      <c r="F22" s="90" t="s">
        <v>177</v>
      </c>
      <c r="G22" s="90"/>
      <c r="H22" s="136">
        <f>SUM(H23:H30)</f>
        <v>5298066.209999999</v>
      </c>
      <c r="I22" s="140"/>
      <c r="J22" s="136">
        <f>SUM(J23:J30)</f>
        <v>5469501.1000000006</v>
      </c>
      <c r="K22" s="140"/>
      <c r="L22" s="96"/>
      <c r="M22" s="89"/>
    </row>
    <row r="23" spans="2:13" ht="18" x14ac:dyDescent="0.35">
      <c r="B23" s="87"/>
      <c r="C23" s="88"/>
      <c r="D23" s="95"/>
      <c r="E23" s="90"/>
      <c r="F23" s="90" t="s">
        <v>178</v>
      </c>
      <c r="G23" s="90"/>
      <c r="H23" s="139">
        <v>746448</v>
      </c>
      <c r="I23" s="140"/>
      <c r="J23" s="136">
        <v>2049005</v>
      </c>
      <c r="K23" s="140"/>
      <c r="L23" s="96"/>
      <c r="M23" s="89"/>
    </row>
    <row r="24" spans="2:13" ht="18" hidden="1" x14ac:dyDescent="0.35">
      <c r="B24" s="87"/>
      <c r="C24" s="88"/>
      <c r="D24" s="95"/>
      <c r="E24" s="90"/>
      <c r="F24" s="90" t="s">
        <v>217</v>
      </c>
      <c r="G24" s="90"/>
      <c r="H24" s="139">
        <v>0</v>
      </c>
      <c r="I24" s="140"/>
      <c r="J24" s="136">
        <v>0</v>
      </c>
      <c r="K24" s="140"/>
      <c r="L24" s="96"/>
      <c r="M24" s="89"/>
    </row>
    <row r="25" spans="2:13" ht="18" x14ac:dyDescent="0.35">
      <c r="B25" s="87"/>
      <c r="C25" s="88"/>
      <c r="D25" s="95"/>
      <c r="E25" s="90"/>
      <c r="F25" s="90" t="s">
        <v>179</v>
      </c>
      <c r="G25" s="90"/>
      <c r="H25" s="139">
        <v>1004534.52</v>
      </c>
      <c r="I25" s="140"/>
      <c r="J25" s="136">
        <v>2154003</v>
      </c>
      <c r="K25" s="140"/>
      <c r="L25" s="96"/>
      <c r="M25" s="89"/>
    </row>
    <row r="26" spans="2:13" ht="18" x14ac:dyDescent="0.35">
      <c r="B26" s="87"/>
      <c r="C26" s="88"/>
      <c r="D26" s="95"/>
      <c r="E26" s="90"/>
      <c r="F26" s="90" t="s">
        <v>180</v>
      </c>
      <c r="G26" s="90"/>
      <c r="H26" s="139">
        <v>3562151.17</v>
      </c>
      <c r="I26" s="140"/>
      <c r="J26" s="136">
        <v>2430706.5699999998</v>
      </c>
      <c r="K26" s="140"/>
      <c r="L26" s="96"/>
      <c r="M26" s="89"/>
    </row>
    <row r="27" spans="2:13" ht="18" x14ac:dyDescent="0.35">
      <c r="B27" s="87"/>
      <c r="C27" s="88"/>
      <c r="D27" s="95"/>
      <c r="E27" s="90"/>
      <c r="F27" s="90" t="s">
        <v>181</v>
      </c>
      <c r="G27" s="90"/>
      <c r="H27" s="139">
        <v>92975.56</v>
      </c>
      <c r="I27" s="140"/>
      <c r="J27" s="136">
        <v>-171627</v>
      </c>
      <c r="K27" s="140"/>
      <c r="L27" s="96"/>
      <c r="M27" s="89"/>
    </row>
    <row r="28" spans="2:13" ht="18" x14ac:dyDescent="0.35">
      <c r="B28" s="87"/>
      <c r="C28" s="88"/>
      <c r="D28" s="95"/>
      <c r="E28" s="90"/>
      <c r="F28" s="90" t="s">
        <v>182</v>
      </c>
      <c r="G28" s="90"/>
      <c r="H28" s="139">
        <v>-9043.0999999999185</v>
      </c>
      <c r="I28" s="140"/>
      <c r="J28" s="136">
        <v>-10740.649999999907</v>
      </c>
      <c r="K28" s="140"/>
      <c r="L28" s="96"/>
      <c r="M28" s="89"/>
    </row>
    <row r="29" spans="2:13" ht="18" x14ac:dyDescent="0.35">
      <c r="B29" s="87"/>
      <c r="C29" s="88"/>
      <c r="D29" s="95"/>
      <c r="E29" s="90"/>
      <c r="F29" s="90" t="s">
        <v>218</v>
      </c>
      <c r="G29" s="90"/>
      <c r="H29" s="139">
        <v>-8354.7799999998952</v>
      </c>
      <c r="I29" s="140"/>
      <c r="J29" s="136">
        <v>-167925.81</v>
      </c>
      <c r="K29" s="140"/>
      <c r="L29" s="96"/>
      <c r="M29" s="89"/>
    </row>
    <row r="30" spans="2:13" ht="18" x14ac:dyDescent="0.35">
      <c r="B30" s="87"/>
      <c r="C30" s="88"/>
      <c r="D30" s="95"/>
      <c r="E30" s="90"/>
      <c r="F30" s="90" t="s">
        <v>183</v>
      </c>
      <c r="G30" s="90"/>
      <c r="H30" s="139">
        <v>-90645.16</v>
      </c>
      <c r="I30" s="140"/>
      <c r="J30" s="136">
        <v>-813920.01</v>
      </c>
      <c r="K30" s="140"/>
      <c r="L30" s="96"/>
      <c r="M30" s="89"/>
    </row>
    <row r="31" spans="2:13" ht="18" hidden="1" x14ac:dyDescent="0.35">
      <c r="B31" s="87"/>
      <c r="C31" s="88"/>
      <c r="D31" s="95"/>
      <c r="E31" s="90"/>
      <c r="F31" s="90"/>
      <c r="G31" s="98"/>
      <c r="H31" s="141"/>
      <c r="I31" s="142"/>
      <c r="J31" s="143"/>
      <c r="K31" s="140"/>
      <c r="L31" s="96"/>
      <c r="M31" s="89"/>
    </row>
    <row r="32" spans="2:13" ht="18" x14ac:dyDescent="0.35">
      <c r="B32" s="87"/>
      <c r="C32" s="88"/>
      <c r="D32" s="95"/>
      <c r="E32" s="90"/>
      <c r="F32" s="90" t="s">
        <v>184</v>
      </c>
      <c r="G32" s="99" t="s">
        <v>0</v>
      </c>
      <c r="H32" s="144">
        <f>+H20+H22</f>
        <v>3883048.0699999989</v>
      </c>
      <c r="I32" s="145"/>
      <c r="J32" s="144">
        <f>+J20+J22</f>
        <v>2534225.7100000009</v>
      </c>
      <c r="K32" s="145"/>
      <c r="L32" s="96"/>
      <c r="M32" s="89"/>
    </row>
    <row r="33" spans="2:13" ht="5.25" customHeight="1" x14ac:dyDescent="0.35">
      <c r="B33" s="87"/>
      <c r="C33" s="88"/>
      <c r="D33" s="95"/>
      <c r="E33" s="90"/>
      <c r="F33" s="90"/>
      <c r="G33" s="90"/>
      <c r="H33" s="139"/>
      <c r="I33" s="140"/>
      <c r="J33" s="136"/>
      <c r="K33" s="140"/>
      <c r="L33" s="96"/>
      <c r="M33" s="89"/>
    </row>
    <row r="34" spans="2:13" ht="18" x14ac:dyDescent="0.35">
      <c r="B34" s="87"/>
      <c r="C34" s="88"/>
      <c r="D34" s="95"/>
      <c r="E34" s="90" t="s">
        <v>185</v>
      </c>
      <c r="F34" s="90"/>
      <c r="G34" s="90"/>
      <c r="H34" s="139"/>
      <c r="I34" s="140"/>
      <c r="J34" s="136"/>
      <c r="K34" s="140"/>
      <c r="L34" s="96"/>
      <c r="M34" s="89"/>
    </row>
    <row r="35" spans="2:13" ht="18" x14ac:dyDescent="0.35">
      <c r="B35" s="87"/>
      <c r="C35" s="88"/>
      <c r="D35" s="95"/>
      <c r="E35" s="90"/>
      <c r="F35" s="90" t="s">
        <v>186</v>
      </c>
      <c r="G35" s="90"/>
      <c r="H35" s="139">
        <v>-49847.25</v>
      </c>
      <c r="I35" s="140"/>
      <c r="J35" s="136">
        <v>-5814.0000000000373</v>
      </c>
      <c r="K35" s="140"/>
      <c r="L35" s="96"/>
      <c r="M35" s="89"/>
    </row>
    <row r="36" spans="2:13" ht="18" x14ac:dyDescent="0.35">
      <c r="B36" s="87"/>
      <c r="C36" s="88"/>
      <c r="D36" s="95"/>
      <c r="E36" s="90"/>
      <c r="F36" s="90" t="s">
        <v>187</v>
      </c>
      <c r="G36" s="90"/>
      <c r="H36" s="143">
        <v>-5242105.46</v>
      </c>
      <c r="I36" s="140"/>
      <c r="J36" s="143">
        <v>168016</v>
      </c>
      <c r="K36" s="140"/>
      <c r="L36" s="96"/>
      <c r="M36" s="89"/>
    </row>
    <row r="37" spans="2:13" ht="18" hidden="1" x14ac:dyDescent="0.35">
      <c r="B37" s="87"/>
      <c r="C37" s="88"/>
      <c r="D37" s="95"/>
      <c r="E37" s="90"/>
      <c r="F37" s="90" t="s">
        <v>219</v>
      </c>
      <c r="G37" s="98"/>
      <c r="H37" s="136">
        <v>0</v>
      </c>
      <c r="I37" s="140"/>
      <c r="J37" s="143"/>
      <c r="K37" s="140"/>
      <c r="L37" s="96"/>
      <c r="M37" s="89"/>
    </row>
    <row r="38" spans="2:13" ht="18" x14ac:dyDescent="0.35">
      <c r="B38" s="87"/>
      <c r="C38" s="88"/>
      <c r="D38" s="95"/>
      <c r="E38" s="90"/>
      <c r="F38" s="90" t="s">
        <v>188</v>
      </c>
      <c r="G38" s="99" t="s">
        <v>0</v>
      </c>
      <c r="H38" s="146">
        <f>SUM(H35:H37)</f>
        <v>-5291952.71</v>
      </c>
      <c r="I38" s="145"/>
      <c r="J38" s="146">
        <f>SUM(J35:J37)</f>
        <v>162201.99999999997</v>
      </c>
      <c r="K38" s="145"/>
      <c r="L38" s="96"/>
      <c r="M38" s="89"/>
    </row>
    <row r="39" spans="2:13" ht="7.5" customHeight="1" x14ac:dyDescent="0.35">
      <c r="B39" s="87"/>
      <c r="C39" s="88"/>
      <c r="D39" s="95"/>
      <c r="E39" s="90"/>
      <c r="F39" s="90"/>
      <c r="G39" s="90"/>
      <c r="H39" s="136"/>
      <c r="I39" s="140"/>
      <c r="J39" s="136"/>
      <c r="K39" s="140"/>
      <c r="L39" s="96"/>
      <c r="M39" s="89"/>
    </row>
    <row r="40" spans="2:13" ht="18" x14ac:dyDescent="0.35">
      <c r="B40" s="87"/>
      <c r="C40" s="88"/>
      <c r="D40" s="95"/>
      <c r="E40" s="90" t="s">
        <v>189</v>
      </c>
      <c r="F40" s="90"/>
      <c r="G40" s="90"/>
      <c r="H40" s="136"/>
      <c r="I40" s="140"/>
      <c r="J40" s="136"/>
      <c r="K40" s="140"/>
      <c r="L40" s="96"/>
      <c r="M40" s="89"/>
    </row>
    <row r="41" spans="2:13" ht="18" x14ac:dyDescent="0.35">
      <c r="B41" s="87"/>
      <c r="C41" s="88"/>
      <c r="D41" s="95"/>
      <c r="E41" s="90"/>
      <c r="F41" s="90" t="s">
        <v>190</v>
      </c>
      <c r="G41" s="90"/>
      <c r="H41" s="136">
        <v>1911652.85</v>
      </c>
      <c r="I41" s="140"/>
      <c r="J41" s="136">
        <v>2000061.61</v>
      </c>
      <c r="K41" s="140"/>
      <c r="L41" s="96"/>
      <c r="M41" s="89"/>
    </row>
    <row r="42" spans="2:13" ht="18" x14ac:dyDescent="0.35">
      <c r="B42" s="87"/>
      <c r="C42" s="88"/>
      <c r="D42" s="95"/>
      <c r="E42" s="90"/>
      <c r="F42" s="90" t="s">
        <v>191</v>
      </c>
      <c r="G42" s="90"/>
      <c r="H42" s="136">
        <v>-450000</v>
      </c>
      <c r="I42" s="140"/>
      <c r="J42" s="136">
        <v>-1060000</v>
      </c>
      <c r="K42" s="140"/>
      <c r="L42" s="96"/>
      <c r="M42" s="89"/>
    </row>
    <row r="43" spans="2:13" ht="18" hidden="1" x14ac:dyDescent="0.35">
      <c r="B43" s="87"/>
      <c r="C43" s="88"/>
      <c r="D43" s="95"/>
      <c r="E43" s="90"/>
      <c r="F43" s="90" t="s">
        <v>220</v>
      </c>
      <c r="G43" s="90"/>
      <c r="H43" s="136">
        <v>0</v>
      </c>
      <c r="I43" s="140"/>
      <c r="J43" s="136">
        <v>0</v>
      </c>
      <c r="K43" s="140"/>
      <c r="L43" s="96"/>
      <c r="M43" s="89"/>
    </row>
    <row r="44" spans="2:13" ht="18" x14ac:dyDescent="0.35">
      <c r="B44" s="87"/>
      <c r="C44" s="88"/>
      <c r="D44" s="95"/>
      <c r="E44" s="90"/>
      <c r="F44" s="90" t="s">
        <v>192</v>
      </c>
      <c r="G44" s="90"/>
      <c r="H44" s="136">
        <v>-747734.32000000007</v>
      </c>
      <c r="I44" s="140"/>
      <c r="J44" s="136">
        <v>-1990000</v>
      </c>
      <c r="K44" s="140"/>
      <c r="L44" s="96"/>
      <c r="M44" s="89"/>
    </row>
    <row r="45" spans="2:13" ht="18" x14ac:dyDescent="0.35">
      <c r="B45" s="87"/>
      <c r="C45" s="88"/>
      <c r="D45" s="95"/>
      <c r="E45" s="90"/>
      <c r="F45" s="90" t="s">
        <v>193</v>
      </c>
      <c r="G45" s="99" t="s">
        <v>0</v>
      </c>
      <c r="H45" s="146">
        <f>SUM(H41:H44)</f>
        <v>713918.53</v>
      </c>
      <c r="I45" s="145"/>
      <c r="J45" s="146">
        <f>SUM(J41:J44)</f>
        <v>-1049938.3899999999</v>
      </c>
      <c r="K45" s="145"/>
      <c r="L45" s="96"/>
      <c r="M45" s="89"/>
    </row>
    <row r="46" spans="2:13" ht="9" customHeight="1" x14ac:dyDescent="0.35">
      <c r="B46" s="87"/>
      <c r="C46" s="88"/>
      <c r="D46" s="95"/>
      <c r="E46" s="90"/>
      <c r="F46" s="90"/>
      <c r="G46" s="90"/>
      <c r="H46" s="136"/>
      <c r="I46" s="140"/>
      <c r="J46" s="136"/>
      <c r="K46" s="140"/>
      <c r="L46" s="96"/>
      <c r="M46" s="89"/>
    </row>
    <row r="47" spans="2:13" ht="18" x14ac:dyDescent="0.35">
      <c r="B47" s="87"/>
      <c r="C47" s="88"/>
      <c r="D47" s="95"/>
      <c r="E47" s="90" t="s">
        <v>194</v>
      </c>
      <c r="F47" s="90"/>
      <c r="G47" s="90"/>
      <c r="H47" s="136">
        <f>+H32+H38+H45</f>
        <v>-694986.11000000103</v>
      </c>
      <c r="I47" s="140"/>
      <c r="J47" s="136">
        <f>+J32+J38+J45</f>
        <v>1646489.320000001</v>
      </c>
      <c r="K47" s="140"/>
      <c r="L47" s="96"/>
      <c r="M47" s="89"/>
    </row>
    <row r="48" spans="2:13" ht="18" x14ac:dyDescent="0.35">
      <c r="B48" s="87"/>
      <c r="C48" s="88"/>
      <c r="D48" s="95"/>
      <c r="E48" s="90" t="s">
        <v>195</v>
      </c>
      <c r="F48" s="90"/>
      <c r="G48" s="98"/>
      <c r="H48" s="136">
        <f>+J49</f>
        <v>2448523.1400000011</v>
      </c>
      <c r="I48" s="140"/>
      <c r="J48" s="143">
        <v>802033.82</v>
      </c>
      <c r="K48" s="140"/>
      <c r="L48" s="96"/>
      <c r="M48" s="89"/>
    </row>
    <row r="49" spans="2:13" ht="18" x14ac:dyDescent="0.35">
      <c r="B49" s="87"/>
      <c r="C49" s="88"/>
      <c r="D49" s="95"/>
      <c r="E49" s="90"/>
      <c r="F49" s="90" t="s">
        <v>196</v>
      </c>
      <c r="G49" s="99" t="s">
        <v>0</v>
      </c>
      <c r="H49" s="146">
        <f>SUM(H47:H48)</f>
        <v>1753537.03</v>
      </c>
      <c r="I49" s="145"/>
      <c r="J49" s="146">
        <f>SUM(J47:J48)</f>
        <v>2448523.1400000011</v>
      </c>
      <c r="K49" s="145"/>
      <c r="L49" s="96"/>
      <c r="M49" s="89"/>
    </row>
    <row r="50" spans="2:13" ht="8.25" customHeight="1" x14ac:dyDescent="0.35">
      <c r="B50" s="87"/>
      <c r="C50" s="88"/>
      <c r="D50" s="100"/>
      <c r="E50" s="98"/>
      <c r="F50" s="98"/>
      <c r="G50" s="98"/>
      <c r="H50" s="143"/>
      <c r="I50" s="98"/>
      <c r="J50" s="143"/>
      <c r="K50" s="98"/>
      <c r="L50" s="101"/>
      <c r="M50" s="89"/>
    </row>
    <row r="51" spans="2:13" ht="18" x14ac:dyDescent="0.35">
      <c r="B51" s="87"/>
      <c r="C51" s="88"/>
      <c r="D51" s="88"/>
      <c r="E51" s="90"/>
      <c r="F51" s="90"/>
      <c r="G51" s="90"/>
      <c r="H51" s="136"/>
      <c r="I51" s="90"/>
      <c r="J51" s="136"/>
      <c r="K51" s="90"/>
      <c r="L51" s="90"/>
      <c r="M51" s="89"/>
    </row>
    <row r="52" spans="2:13" ht="15" x14ac:dyDescent="0.2">
      <c r="B52" s="87"/>
      <c r="C52" s="88"/>
      <c r="D52" s="88"/>
      <c r="E52" s="88"/>
      <c r="F52" s="88"/>
      <c r="G52" s="88"/>
      <c r="H52" s="135"/>
      <c r="I52" s="88"/>
      <c r="J52" s="135"/>
      <c r="K52" s="88"/>
      <c r="L52" s="88"/>
      <c r="M52" s="89"/>
    </row>
    <row r="53" spans="2:13" ht="15" x14ac:dyDescent="0.2">
      <c r="B53" s="87"/>
      <c r="C53" s="88"/>
      <c r="D53" s="88"/>
      <c r="E53" s="88"/>
      <c r="F53" s="88"/>
      <c r="G53" s="88"/>
      <c r="H53" s="135"/>
      <c r="I53" s="88"/>
      <c r="J53" s="135"/>
      <c r="K53" s="88"/>
      <c r="L53" s="88"/>
      <c r="M53" s="89"/>
    </row>
    <row r="54" spans="2:13" ht="15" x14ac:dyDescent="0.2">
      <c r="B54" s="87"/>
      <c r="C54" s="88"/>
      <c r="D54" s="88"/>
      <c r="E54" s="88"/>
      <c r="F54" s="88"/>
      <c r="G54" s="88"/>
      <c r="H54" s="135"/>
      <c r="I54" s="88"/>
      <c r="J54" s="135"/>
      <c r="K54" s="88"/>
      <c r="L54" s="88"/>
      <c r="M54" s="89"/>
    </row>
    <row r="55" spans="2:13" ht="15" x14ac:dyDescent="0.2">
      <c r="B55" s="87"/>
      <c r="C55" s="88"/>
      <c r="D55" s="88"/>
      <c r="E55" s="88"/>
      <c r="F55" s="88"/>
      <c r="G55" s="88"/>
      <c r="H55" s="135"/>
      <c r="I55" s="88"/>
      <c r="J55" s="135"/>
      <c r="K55" s="88"/>
      <c r="L55" s="88"/>
      <c r="M55" s="89"/>
    </row>
    <row r="56" spans="2:13" ht="15" x14ac:dyDescent="0.2">
      <c r="B56" s="87"/>
      <c r="C56" s="88"/>
      <c r="D56" s="88"/>
      <c r="E56" s="88"/>
      <c r="F56" s="88"/>
      <c r="G56" s="88"/>
      <c r="H56" s="135"/>
      <c r="I56" s="88"/>
      <c r="J56" s="135"/>
      <c r="K56" s="88"/>
      <c r="L56" s="88"/>
      <c r="M56" s="89"/>
    </row>
    <row r="57" spans="2:13" ht="18" x14ac:dyDescent="0.35">
      <c r="B57" s="87"/>
      <c r="C57" s="147" t="s">
        <v>221</v>
      </c>
      <c r="D57" s="90"/>
      <c r="E57" s="90"/>
      <c r="F57" s="12"/>
      <c r="G57" s="90"/>
      <c r="H57" s="136"/>
      <c r="I57" s="90"/>
      <c r="J57" s="148"/>
      <c r="K57" s="12"/>
      <c r="L57" s="90"/>
      <c r="M57" s="89"/>
    </row>
    <row r="58" spans="2:13" ht="15" x14ac:dyDescent="0.2">
      <c r="B58" s="87"/>
      <c r="C58" s="88"/>
      <c r="D58" s="88"/>
      <c r="E58" s="88"/>
      <c r="F58" s="88"/>
      <c r="G58" s="88"/>
      <c r="H58" s="135"/>
      <c r="I58" s="88"/>
      <c r="J58" s="135"/>
      <c r="K58" s="88"/>
      <c r="L58" s="88"/>
      <c r="M58" s="89"/>
    </row>
    <row r="59" spans="2:13" ht="15.75" thickBot="1" x14ac:dyDescent="0.25">
      <c r="B59" s="102"/>
      <c r="C59" s="103"/>
      <c r="D59" s="103"/>
      <c r="E59" s="103"/>
      <c r="F59" s="103"/>
      <c r="G59" s="103"/>
      <c r="H59" s="149"/>
      <c r="I59" s="103"/>
      <c r="J59" s="149"/>
      <c r="K59" s="103"/>
      <c r="L59" s="103"/>
      <c r="M59" s="104"/>
    </row>
  </sheetData>
  <mergeCells count="4">
    <mergeCell ref="E4:L4"/>
    <mergeCell ref="E6:L6"/>
    <mergeCell ref="E7:K7"/>
    <mergeCell ref="E8:K8"/>
  </mergeCells>
  <pageMargins left="0.70866141732283472" right="0.53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Balance-Anexo1</vt:lpstr>
      <vt:lpstr>Balance-Anexo1A</vt:lpstr>
      <vt:lpstr>Resultados-Anexo2A</vt:lpstr>
      <vt:lpstr>Cambios Patrimonio</vt:lpstr>
      <vt:lpstr>Flujo de Efectivo 2011</vt:lpstr>
      <vt:lpstr>'Balance-Anexo1'!Área_de_impresión</vt:lpstr>
      <vt:lpstr>'Balance-Anexo1A'!Títulos_a_imprimir</vt:lpstr>
    </vt:vector>
  </TitlesOfParts>
  <Company>KPMG El Salvador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melgar</cp:lastModifiedBy>
  <cp:lastPrinted>2012-12-05T19:46:02Z</cp:lastPrinted>
  <dcterms:created xsi:type="dcterms:W3CDTF">2004-04-13T04:53:39Z</dcterms:created>
  <dcterms:modified xsi:type="dcterms:W3CDTF">2016-09-12T21:53:41Z</dcterms:modified>
</cp:coreProperties>
</file>