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105" windowWidth="9720" windowHeight="6030"/>
  </bookViews>
  <sheets>
    <sheet name=" 2011" sheetId="3" r:id="rId1"/>
    <sheet name=" 2012" sheetId="9" r:id="rId2"/>
    <sheet name=" 2013" sheetId="10" r:id="rId3"/>
    <sheet name=" 2014" sheetId="11" r:id="rId4"/>
    <sheet name=" 2015" sheetId="12" r:id="rId5"/>
  </sheets>
  <calcPr calcId="144525"/>
</workbook>
</file>

<file path=xl/calcChain.xml><?xml version="1.0" encoding="utf-8"?>
<calcChain xmlns="http://schemas.openxmlformats.org/spreadsheetml/2006/main">
  <c r="F275" i="12" l="1"/>
  <c r="F273" i="12" s="1"/>
  <c r="D281" i="12"/>
  <c r="D280" i="12"/>
  <c r="D279" i="12"/>
  <c r="E279" i="12" s="1"/>
  <c r="D278" i="12"/>
  <c r="D277" i="12"/>
  <c r="D275" i="12"/>
  <c r="C281" i="12"/>
  <c r="C280" i="12"/>
  <c r="C279" i="12"/>
  <c r="C278" i="12"/>
  <c r="C277" i="12"/>
  <c r="C276" i="12"/>
  <c r="C275" i="12"/>
  <c r="E275" i="12" s="1"/>
  <c r="E276" i="12"/>
  <c r="E277" i="12"/>
  <c r="E278" i="12"/>
  <c r="E280" i="12"/>
  <c r="E281" i="12"/>
  <c r="F203" i="12"/>
  <c r="F201" i="12" s="1"/>
  <c r="D209" i="12"/>
  <c r="D205" i="12"/>
  <c r="D203" i="12"/>
  <c r="C209" i="12"/>
  <c r="C208" i="12"/>
  <c r="E208" i="12" s="1"/>
  <c r="C207" i="12"/>
  <c r="C206" i="12"/>
  <c r="C205" i="12"/>
  <c r="C204" i="12"/>
  <c r="E204" i="12" s="1"/>
  <c r="C203" i="12"/>
  <c r="E205" i="12"/>
  <c r="E206" i="12"/>
  <c r="E207" i="12"/>
  <c r="D201" i="12"/>
  <c r="C273" i="12" l="1"/>
  <c r="E209" i="12"/>
  <c r="E203" i="12"/>
  <c r="D273" i="12"/>
  <c r="E273" i="12"/>
  <c r="C201" i="12"/>
  <c r="E201" i="12"/>
  <c r="D136" i="12" l="1"/>
  <c r="C136" i="12"/>
  <c r="D134" i="12"/>
  <c r="C134" i="12"/>
  <c r="E136" i="12" l="1"/>
  <c r="E134" i="12"/>
  <c r="D132" i="12"/>
  <c r="C132" i="12"/>
  <c r="E132" i="12" l="1"/>
  <c r="D65" i="12"/>
  <c r="D63" i="12" s="1"/>
  <c r="C65" i="12"/>
  <c r="E65" i="12" s="1"/>
  <c r="E63" i="12" s="1"/>
  <c r="F269" i="11"/>
  <c r="C269" i="11"/>
  <c r="D278" i="11"/>
  <c r="D273" i="11"/>
  <c r="D269" i="11" s="1"/>
  <c r="E278" i="11"/>
  <c r="E273" i="11"/>
  <c r="E274" i="11"/>
  <c r="E275" i="11"/>
  <c r="E276" i="11"/>
  <c r="E277" i="11"/>
  <c r="E271" i="11"/>
  <c r="E204" i="11"/>
  <c r="E205" i="11"/>
  <c r="E206" i="11"/>
  <c r="E203" i="11"/>
  <c r="E201" i="11"/>
  <c r="D199" i="11"/>
  <c r="C199" i="11"/>
  <c r="E278" i="10"/>
  <c r="E276" i="10"/>
  <c r="E274" i="10"/>
  <c r="E272" i="10" s="1"/>
  <c r="F272" i="10"/>
  <c r="D272" i="10"/>
  <c r="C272" i="10"/>
  <c r="E204" i="10"/>
  <c r="E206" i="10"/>
  <c r="E202" i="10"/>
  <c r="F200" i="10"/>
  <c r="D200" i="10"/>
  <c r="C200" i="10"/>
  <c r="E269" i="11" l="1"/>
  <c r="C63" i="12"/>
  <c r="E200" i="10"/>
  <c r="E199" i="11"/>
  <c r="E275" i="9" l="1"/>
  <c r="E274" i="9"/>
  <c r="E273" i="9"/>
  <c r="E271" i="9" s="1"/>
  <c r="E276" i="9" s="1"/>
  <c r="E272" i="9"/>
  <c r="F271" i="9"/>
  <c r="F276" i="9" s="1"/>
  <c r="D271" i="9"/>
  <c r="D276" i="9" s="1"/>
  <c r="C271" i="9"/>
  <c r="C276" i="9" s="1"/>
  <c r="E205" i="9"/>
  <c r="E204" i="9"/>
  <c r="E203" i="9"/>
  <c r="E201" i="9" s="1"/>
  <c r="E206" i="9" s="1"/>
  <c r="E202" i="9"/>
  <c r="F201" i="9"/>
  <c r="F206" i="9" s="1"/>
  <c r="D201" i="9"/>
  <c r="D206" i="9" s="1"/>
  <c r="C201" i="9"/>
  <c r="C206" i="9" s="1"/>
  <c r="E277" i="3"/>
  <c r="E276" i="3"/>
  <c r="E275" i="3"/>
  <c r="E273" i="3" s="1"/>
  <c r="E278" i="3" s="1"/>
  <c r="E274" i="3"/>
  <c r="F273" i="3"/>
  <c r="F278" i="3" s="1"/>
  <c r="D273" i="3"/>
  <c r="D278" i="3" s="1"/>
  <c r="C273" i="3"/>
  <c r="C278" i="3" s="1"/>
  <c r="F201" i="3"/>
  <c r="F206" i="3" s="1"/>
  <c r="D201" i="3"/>
  <c r="D206" i="3" s="1"/>
  <c r="E205" i="3"/>
  <c r="E204" i="3"/>
  <c r="E203" i="3"/>
  <c r="E202" i="3"/>
  <c r="C201" i="3"/>
  <c r="F254" i="12"/>
  <c r="D254" i="12"/>
  <c r="E254" i="12" s="1"/>
  <c r="F262" i="12"/>
  <c r="D262" i="12"/>
  <c r="E262" i="12" s="1"/>
  <c r="E261" i="12" s="1"/>
  <c r="C254" i="12"/>
  <c r="F245" i="12"/>
  <c r="F242" i="12" s="1"/>
  <c r="D245" i="12"/>
  <c r="C245" i="12"/>
  <c r="C242" i="12" s="1"/>
  <c r="E231" i="12"/>
  <c r="E232" i="12"/>
  <c r="F181" i="12"/>
  <c r="D181" i="12"/>
  <c r="E181" i="12" s="1"/>
  <c r="C181" i="12"/>
  <c r="F172" i="12"/>
  <c r="F169" i="12" s="1"/>
  <c r="D172" i="12"/>
  <c r="E159" i="12"/>
  <c r="E158" i="12"/>
  <c r="F111" i="12"/>
  <c r="C92" i="12"/>
  <c r="D92" i="12"/>
  <c r="D102" i="12"/>
  <c r="D111" i="12"/>
  <c r="E111" i="12" s="1"/>
  <c r="C111" i="12"/>
  <c r="E113" i="12"/>
  <c r="F102" i="12"/>
  <c r="E96" i="12"/>
  <c r="E84" i="12"/>
  <c r="E85" i="12"/>
  <c r="E86" i="12"/>
  <c r="E87" i="12"/>
  <c r="E88" i="12"/>
  <c r="E89" i="12"/>
  <c r="F40" i="12"/>
  <c r="F43" i="12"/>
  <c r="D43" i="12"/>
  <c r="C43" i="12"/>
  <c r="E43" i="12" s="1"/>
  <c r="E46" i="12"/>
  <c r="E47" i="12"/>
  <c r="F34" i="12"/>
  <c r="D34" i="12"/>
  <c r="E34" i="12" s="1"/>
  <c r="E28" i="12"/>
  <c r="E265" i="12"/>
  <c r="E264" i="12"/>
  <c r="E263" i="12"/>
  <c r="F261" i="12"/>
  <c r="D261" i="12"/>
  <c r="C261" i="12"/>
  <c r="E260" i="12"/>
  <c r="F259" i="12"/>
  <c r="E259" i="12"/>
  <c r="D259" i="12"/>
  <c r="C259" i="12"/>
  <c r="E258" i="12"/>
  <c r="E257" i="12"/>
  <c r="E256" i="12"/>
  <c r="F255" i="12"/>
  <c r="D255" i="12"/>
  <c r="C255" i="12"/>
  <c r="E253" i="12"/>
  <c r="E252" i="12"/>
  <c r="F251" i="12"/>
  <c r="D251" i="12"/>
  <c r="C251" i="12"/>
  <c r="E250" i="12"/>
  <c r="E249" i="12"/>
  <c r="F248" i="12"/>
  <c r="D248" i="12"/>
  <c r="C248" i="12"/>
  <c r="E247" i="12"/>
  <c r="E246" i="12"/>
  <c r="E245" i="12"/>
  <c r="E244" i="12"/>
  <c r="E243" i="12"/>
  <c r="D242" i="12"/>
  <c r="E241" i="12"/>
  <c r="E240" i="12" s="1"/>
  <c r="F240" i="12"/>
  <c r="D240" i="12"/>
  <c r="C240" i="12"/>
  <c r="E239" i="12"/>
  <c r="E238" i="12"/>
  <c r="E237" i="12"/>
  <c r="E236" i="12"/>
  <c r="F235" i="12"/>
  <c r="D235" i="12"/>
  <c r="C235" i="12"/>
  <c r="D233" i="12"/>
  <c r="E230" i="12"/>
  <c r="E229" i="12"/>
  <c r="E228" i="12"/>
  <c r="E227" i="12"/>
  <c r="E226" i="12"/>
  <c r="F224" i="12"/>
  <c r="D224" i="12"/>
  <c r="C224" i="12"/>
  <c r="E192" i="12"/>
  <c r="E191" i="12"/>
  <c r="E190" i="12"/>
  <c r="E189" i="12"/>
  <c r="F188" i="12"/>
  <c r="D188" i="12"/>
  <c r="C188" i="12"/>
  <c r="E187" i="12"/>
  <c r="E186" i="12" s="1"/>
  <c r="F186" i="12"/>
  <c r="D186" i="12"/>
  <c r="C186" i="12"/>
  <c r="E185" i="12"/>
  <c r="E184" i="12"/>
  <c r="E183" i="12"/>
  <c r="F182" i="12"/>
  <c r="D182" i="12"/>
  <c r="C182" i="12"/>
  <c r="E180" i="12"/>
  <c r="E179" i="12"/>
  <c r="F178" i="12"/>
  <c r="D178" i="12"/>
  <c r="C178" i="12"/>
  <c r="E177" i="12"/>
  <c r="E176" i="12"/>
  <c r="F175" i="12"/>
  <c r="D175" i="12"/>
  <c r="C175" i="12"/>
  <c r="E174" i="12"/>
  <c r="E173" i="12"/>
  <c r="E172" i="12"/>
  <c r="E171" i="12"/>
  <c r="E170" i="12"/>
  <c r="D169" i="12"/>
  <c r="C169" i="12"/>
  <c r="E168" i="12"/>
  <c r="F167" i="12"/>
  <c r="E167" i="12"/>
  <c r="D167" i="12"/>
  <c r="C167" i="12"/>
  <c r="E166" i="12"/>
  <c r="E165" i="12"/>
  <c r="E164" i="12"/>
  <c r="E163" i="12"/>
  <c r="F162" i="12"/>
  <c r="D162" i="12"/>
  <c r="C162" i="12"/>
  <c r="E157" i="12"/>
  <c r="E156" i="12"/>
  <c r="E155" i="12"/>
  <c r="E154" i="12"/>
  <c r="E153" i="12"/>
  <c r="F151" i="12"/>
  <c r="D151" i="12"/>
  <c r="C151" i="12"/>
  <c r="E122" i="12"/>
  <c r="E121" i="12"/>
  <c r="E120" i="12"/>
  <c r="E119" i="12"/>
  <c r="F118" i="12"/>
  <c r="D118" i="12"/>
  <c r="C118" i="12"/>
  <c r="E117" i="12"/>
  <c r="F116" i="12"/>
  <c r="E116" i="12"/>
  <c r="D116" i="12"/>
  <c r="C116" i="12"/>
  <c r="E115" i="12"/>
  <c r="E114" i="12"/>
  <c r="F112" i="12"/>
  <c r="D112" i="12"/>
  <c r="C112" i="12"/>
  <c r="E110" i="12"/>
  <c r="E109" i="12"/>
  <c r="F108" i="12"/>
  <c r="D108" i="12"/>
  <c r="C108" i="12"/>
  <c r="E107" i="12"/>
  <c r="E106" i="12"/>
  <c r="F105" i="12"/>
  <c r="D105" i="12"/>
  <c r="C105" i="12"/>
  <c r="E104" i="12"/>
  <c r="E103" i="12"/>
  <c r="F99" i="12"/>
  <c r="E102" i="12"/>
  <c r="E101" i="12"/>
  <c r="E100" i="12"/>
  <c r="C99" i="12"/>
  <c r="E98" i="12"/>
  <c r="F97" i="12"/>
  <c r="E97" i="12"/>
  <c r="D97" i="12"/>
  <c r="C97" i="12"/>
  <c r="E95" i="12"/>
  <c r="E94" i="12"/>
  <c r="E93" i="12"/>
  <c r="F92" i="12"/>
  <c r="E83" i="12"/>
  <c r="F81" i="12"/>
  <c r="D81" i="12"/>
  <c r="C81" i="12"/>
  <c r="E50" i="12"/>
  <c r="C50" i="12"/>
  <c r="E49" i="12"/>
  <c r="E48" i="12" s="1"/>
  <c r="F48" i="12"/>
  <c r="D48" i="12"/>
  <c r="C48" i="12"/>
  <c r="E45" i="12"/>
  <c r="F44" i="12"/>
  <c r="D44" i="12"/>
  <c r="C44" i="12"/>
  <c r="E42" i="12"/>
  <c r="E41" i="12"/>
  <c r="D40" i="12"/>
  <c r="C40" i="12"/>
  <c r="E39" i="12"/>
  <c r="E38" i="12"/>
  <c r="F37" i="12"/>
  <c r="D37" i="12"/>
  <c r="C37" i="12"/>
  <c r="E36" i="12"/>
  <c r="E35" i="12"/>
  <c r="E33" i="12"/>
  <c r="E32" i="12"/>
  <c r="F31" i="12"/>
  <c r="C31" i="12"/>
  <c r="E30" i="12"/>
  <c r="F29" i="12"/>
  <c r="D29" i="12"/>
  <c r="C29" i="12"/>
  <c r="E27" i="12"/>
  <c r="E26" i="12"/>
  <c r="E25" i="12"/>
  <c r="F24" i="12"/>
  <c r="D24" i="12"/>
  <c r="C24" i="12"/>
  <c r="E21" i="12"/>
  <c r="E20" i="12"/>
  <c r="E19" i="12"/>
  <c r="E18" i="12"/>
  <c r="E17" i="12"/>
  <c r="E16" i="12"/>
  <c r="F14" i="12"/>
  <c r="D14" i="12"/>
  <c r="C14" i="12"/>
  <c r="F250" i="11"/>
  <c r="D250" i="11"/>
  <c r="C250" i="11"/>
  <c r="E250" i="11" s="1"/>
  <c r="F241" i="11"/>
  <c r="D241" i="11"/>
  <c r="E241" i="11" s="1"/>
  <c r="C241" i="11"/>
  <c r="F227" i="11"/>
  <c r="F226" i="11"/>
  <c r="F223" i="11"/>
  <c r="F221" i="11" s="1"/>
  <c r="D226" i="11"/>
  <c r="D227" i="11"/>
  <c r="D223" i="11"/>
  <c r="C227" i="11"/>
  <c r="C226" i="11"/>
  <c r="C223" i="11"/>
  <c r="C221" i="11" s="1"/>
  <c r="F180" i="11"/>
  <c r="D180" i="11"/>
  <c r="C180" i="11"/>
  <c r="F171" i="11"/>
  <c r="D171" i="11"/>
  <c r="F156" i="11"/>
  <c r="F157" i="11"/>
  <c r="F153" i="11"/>
  <c r="F151" i="11" s="1"/>
  <c r="D157" i="11"/>
  <c r="D156" i="11"/>
  <c r="E156" i="11" s="1"/>
  <c r="D153" i="11"/>
  <c r="C157" i="11"/>
  <c r="C156" i="11"/>
  <c r="C153" i="11"/>
  <c r="C151" i="11" s="1"/>
  <c r="F109" i="11"/>
  <c r="D109" i="11"/>
  <c r="E109" i="11" s="1"/>
  <c r="C109" i="11"/>
  <c r="F100" i="11"/>
  <c r="F97" i="11" s="1"/>
  <c r="D100" i="11"/>
  <c r="F85" i="11"/>
  <c r="F86" i="11"/>
  <c r="F82" i="11"/>
  <c r="D86" i="11"/>
  <c r="D85" i="11"/>
  <c r="D80" i="11" s="1"/>
  <c r="D82" i="11"/>
  <c r="C86" i="11"/>
  <c r="E86" i="11" s="1"/>
  <c r="C85" i="11"/>
  <c r="C82" i="11"/>
  <c r="E82" i="11" s="1"/>
  <c r="F43" i="11"/>
  <c r="D43" i="11"/>
  <c r="E43" i="11" s="1"/>
  <c r="C43" i="11"/>
  <c r="F33" i="11"/>
  <c r="D33" i="11"/>
  <c r="E26" i="11"/>
  <c r="F16" i="11"/>
  <c r="F20" i="11"/>
  <c r="F14" i="11" s="1"/>
  <c r="F19" i="11"/>
  <c r="D16" i="11"/>
  <c r="D14" i="11" s="1"/>
  <c r="D20" i="11"/>
  <c r="D19" i="11"/>
  <c r="C20" i="11"/>
  <c r="C19" i="11"/>
  <c r="E19" i="11" s="1"/>
  <c r="C16" i="11"/>
  <c r="E261" i="11"/>
  <c r="E260" i="11"/>
  <c r="E259" i="11"/>
  <c r="E258" i="11"/>
  <c r="F257" i="11"/>
  <c r="D257" i="11"/>
  <c r="C257" i="11"/>
  <c r="E256" i="11"/>
  <c r="E255" i="11" s="1"/>
  <c r="F255" i="11"/>
  <c r="D255" i="11"/>
  <c r="C255" i="11"/>
  <c r="E254" i="11"/>
  <c r="E253" i="11"/>
  <c r="E252" i="11"/>
  <c r="F251" i="11"/>
  <c r="D251" i="11"/>
  <c r="C251" i="11"/>
  <c r="E249" i="11"/>
  <c r="E248" i="11"/>
  <c r="F247" i="11"/>
  <c r="D247" i="11"/>
  <c r="C247" i="11"/>
  <c r="E246" i="11"/>
  <c r="E245" i="11"/>
  <c r="F244" i="11"/>
  <c r="D244" i="11"/>
  <c r="C244" i="11"/>
  <c r="E243" i="11"/>
  <c r="E242" i="11"/>
  <c r="E240" i="11"/>
  <c r="E239" i="11"/>
  <c r="F238" i="11"/>
  <c r="C238" i="11"/>
  <c r="E237" i="11"/>
  <c r="F236" i="11"/>
  <c r="E236" i="11"/>
  <c r="D236" i="11"/>
  <c r="C236" i="11"/>
  <c r="E235" i="11"/>
  <c r="E234" i="11"/>
  <c r="E233" i="11"/>
  <c r="E232" i="11"/>
  <c r="F231" i="11"/>
  <c r="D231" i="11"/>
  <c r="C231" i="11"/>
  <c r="E228" i="11"/>
  <c r="E227" i="11"/>
  <c r="E226" i="11"/>
  <c r="E225" i="11"/>
  <c r="E224" i="11"/>
  <c r="E223" i="11"/>
  <c r="D221" i="11"/>
  <c r="E191" i="11"/>
  <c r="E190" i="11"/>
  <c r="E189" i="11"/>
  <c r="E188" i="11"/>
  <c r="F187" i="11"/>
  <c r="D187" i="11"/>
  <c r="C187" i="11"/>
  <c r="E186" i="11"/>
  <c r="F185" i="11"/>
  <c r="E185" i="11"/>
  <c r="D185" i="11"/>
  <c r="C185" i="11"/>
  <c r="E184" i="11"/>
  <c r="E183" i="11"/>
  <c r="E182" i="11"/>
  <c r="F181" i="11"/>
  <c r="D181" i="11"/>
  <c r="C181" i="11"/>
  <c r="E180" i="11"/>
  <c r="E179" i="11"/>
  <c r="E178" i="11"/>
  <c r="F177" i="11"/>
  <c r="D177" i="11"/>
  <c r="C177" i="11"/>
  <c r="E176" i="11"/>
  <c r="E174" i="11" s="1"/>
  <c r="E175" i="11"/>
  <c r="F174" i="11"/>
  <c r="D174" i="11"/>
  <c r="C174" i="11"/>
  <c r="E173" i="11"/>
  <c r="E172" i="11"/>
  <c r="E171" i="11"/>
  <c r="E170" i="11"/>
  <c r="E169" i="11"/>
  <c r="F168" i="11"/>
  <c r="D168" i="11"/>
  <c r="C168" i="11"/>
  <c r="E167" i="11"/>
  <c r="E166" i="11" s="1"/>
  <c r="F166" i="11"/>
  <c r="D166" i="11"/>
  <c r="C166" i="11"/>
  <c r="E165" i="11"/>
  <c r="E164" i="11"/>
  <c r="E163" i="11"/>
  <c r="E162" i="11"/>
  <c r="F161" i="11"/>
  <c r="D161" i="11"/>
  <c r="C161" i="11"/>
  <c r="E158" i="11"/>
  <c r="E157" i="11"/>
  <c r="E155" i="11"/>
  <c r="E154" i="11"/>
  <c r="E153" i="11"/>
  <c r="D151" i="11"/>
  <c r="E120" i="11"/>
  <c r="E119" i="11"/>
  <c r="E118" i="11"/>
  <c r="E117" i="11"/>
  <c r="E116" i="11" s="1"/>
  <c r="F116" i="11"/>
  <c r="D116" i="11"/>
  <c r="C116" i="11"/>
  <c r="E115" i="11"/>
  <c r="E114" i="11" s="1"/>
  <c r="F114" i="11"/>
  <c r="D114" i="11"/>
  <c r="C114" i="11"/>
  <c r="E113" i="11"/>
  <c r="E112" i="11"/>
  <c r="E111" i="11"/>
  <c r="F110" i="11"/>
  <c r="D110" i="11"/>
  <c r="C110" i="11"/>
  <c r="E108" i="11"/>
  <c r="E107" i="11"/>
  <c r="F106" i="11"/>
  <c r="D106" i="11"/>
  <c r="C106" i="11"/>
  <c r="E105" i="11"/>
  <c r="E104" i="11"/>
  <c r="F103" i="11"/>
  <c r="D103" i="11"/>
  <c r="C103" i="11"/>
  <c r="E102" i="11"/>
  <c r="E101" i="11"/>
  <c r="E100" i="11"/>
  <c r="E99" i="11"/>
  <c r="E98" i="11"/>
  <c r="D97" i="11"/>
  <c r="C97" i="11"/>
  <c r="E96" i="11"/>
  <c r="F95" i="11"/>
  <c r="E95" i="11"/>
  <c r="D95" i="11"/>
  <c r="C95" i="11"/>
  <c r="E94" i="11"/>
  <c r="E93" i="11"/>
  <c r="E92" i="11"/>
  <c r="E91" i="11"/>
  <c r="F90" i="11"/>
  <c r="D90" i="11"/>
  <c r="D88" i="11" s="1"/>
  <c r="C90" i="11"/>
  <c r="E87" i="11"/>
  <c r="E85" i="11"/>
  <c r="E84" i="11"/>
  <c r="E83" i="11"/>
  <c r="F80" i="11"/>
  <c r="C80" i="11"/>
  <c r="E50" i="11"/>
  <c r="C50" i="11"/>
  <c r="E49" i="11"/>
  <c r="F48" i="11"/>
  <c r="E48" i="11"/>
  <c r="D48" i="11"/>
  <c r="C48" i="11"/>
  <c r="E47" i="11"/>
  <c r="E44" i="11" s="1"/>
  <c r="E45" i="11"/>
  <c r="F44" i="11"/>
  <c r="D44" i="11"/>
  <c r="C44" i="11"/>
  <c r="E42" i="11"/>
  <c r="E41" i="11"/>
  <c r="D40" i="11"/>
  <c r="C40" i="11"/>
  <c r="E39" i="11"/>
  <c r="E38" i="11"/>
  <c r="F37" i="11"/>
  <c r="D37" i="11"/>
  <c r="C37" i="11"/>
  <c r="E36" i="11"/>
  <c r="E35" i="11"/>
  <c r="E34" i="11"/>
  <c r="E33" i="11"/>
  <c r="E32" i="11"/>
  <c r="F31" i="11"/>
  <c r="D31" i="11"/>
  <c r="C31" i="11"/>
  <c r="E30" i="11"/>
  <c r="F29" i="11"/>
  <c r="E29" i="11"/>
  <c r="D29" i="11"/>
  <c r="C29" i="11"/>
  <c r="E27" i="11"/>
  <c r="E25" i="11"/>
  <c r="F24" i="11"/>
  <c r="D24" i="11"/>
  <c r="C24" i="11"/>
  <c r="E21" i="11"/>
  <c r="E20" i="11"/>
  <c r="E18" i="11"/>
  <c r="E17" i="11"/>
  <c r="E16" i="11"/>
  <c r="E14" i="11" s="1"/>
  <c r="C14" i="11"/>
  <c r="F251" i="10"/>
  <c r="D251" i="10"/>
  <c r="C251" i="10"/>
  <c r="F242" i="10"/>
  <c r="D242" i="10"/>
  <c r="C242" i="10"/>
  <c r="D180" i="10"/>
  <c r="D185" i="10"/>
  <c r="D187" i="10"/>
  <c r="F180" i="10"/>
  <c r="C180" i="10"/>
  <c r="E257" i="11" l="1"/>
  <c r="D159" i="11"/>
  <c r="D31" i="12"/>
  <c r="D22" i="12" s="1"/>
  <c r="D55" i="12" s="1"/>
  <c r="D238" i="11"/>
  <c r="D229" i="11" s="1"/>
  <c r="D262" i="11" s="1"/>
  <c r="E201" i="3"/>
  <c r="E92" i="12"/>
  <c r="E187" i="11"/>
  <c r="E188" i="12"/>
  <c r="E251" i="12"/>
  <c r="E255" i="12"/>
  <c r="E37" i="12"/>
  <c r="E118" i="12"/>
  <c r="E178" i="12"/>
  <c r="E175" i="12"/>
  <c r="E248" i="12"/>
  <c r="E40" i="11"/>
  <c r="E37" i="11"/>
  <c r="D22" i="11"/>
  <c r="E103" i="11"/>
  <c r="E88" i="11" s="1"/>
  <c r="E121" i="11" s="1"/>
  <c r="E151" i="11"/>
  <c r="E177" i="11"/>
  <c r="E221" i="11"/>
  <c r="E244" i="11"/>
  <c r="E80" i="11"/>
  <c r="E106" i="11"/>
  <c r="E206" i="3"/>
  <c r="C206" i="3"/>
  <c r="F233" i="12"/>
  <c r="E242" i="12"/>
  <c r="C233" i="12"/>
  <c r="E235" i="12"/>
  <c r="F266" i="12"/>
  <c r="D266" i="12"/>
  <c r="C266" i="12"/>
  <c r="E233" i="12"/>
  <c r="E182" i="12"/>
  <c r="E169" i="12"/>
  <c r="C160" i="12"/>
  <c r="E162" i="12"/>
  <c r="E160" i="12" s="1"/>
  <c r="F160" i="12"/>
  <c r="F193" i="12" s="1"/>
  <c r="D160" i="12"/>
  <c r="D193" i="12" s="1"/>
  <c r="C193" i="12"/>
  <c r="E151" i="12"/>
  <c r="E112" i="12"/>
  <c r="E108" i="12"/>
  <c r="E105" i="12"/>
  <c r="E99" i="12"/>
  <c r="F90" i="12"/>
  <c r="F123" i="12" s="1"/>
  <c r="C90" i="12"/>
  <c r="C123" i="12" s="1"/>
  <c r="E81" i="12"/>
  <c r="E44" i="12"/>
  <c r="E40" i="12"/>
  <c r="F22" i="12"/>
  <c r="F55" i="12" s="1"/>
  <c r="E31" i="12"/>
  <c r="E29" i="12"/>
  <c r="E24" i="12"/>
  <c r="C22" i="12"/>
  <c r="C55" i="12" s="1"/>
  <c r="E14" i="12"/>
  <c r="E224" i="12"/>
  <c r="D99" i="12"/>
  <c r="D90" i="12" s="1"/>
  <c r="D123" i="12" s="1"/>
  <c r="E251" i="11"/>
  <c r="E247" i="11"/>
  <c r="F229" i="11"/>
  <c r="E238" i="11"/>
  <c r="C229" i="11"/>
  <c r="C262" i="11" s="1"/>
  <c r="E231" i="11"/>
  <c r="F262" i="11"/>
  <c r="E181" i="11"/>
  <c r="F159" i="11"/>
  <c r="E168" i="11"/>
  <c r="C159" i="11"/>
  <c r="E161" i="11"/>
  <c r="F192" i="11"/>
  <c r="D192" i="11"/>
  <c r="C192" i="11"/>
  <c r="E159" i="11"/>
  <c r="E192" i="11" s="1"/>
  <c r="E110" i="11"/>
  <c r="F88" i="11"/>
  <c r="E97" i="11"/>
  <c r="C88" i="11"/>
  <c r="E90" i="11"/>
  <c r="F121" i="11"/>
  <c r="D121" i="11"/>
  <c r="C121" i="11"/>
  <c r="E31" i="11"/>
  <c r="F22" i="11"/>
  <c r="C22" i="11"/>
  <c r="C55" i="11" s="1"/>
  <c r="E24" i="11"/>
  <c r="F55" i="11"/>
  <c r="D55" i="11"/>
  <c r="F171" i="10"/>
  <c r="D171" i="10"/>
  <c r="E171" i="10" s="1"/>
  <c r="F109" i="10"/>
  <c r="F116" i="10"/>
  <c r="F106" i="10"/>
  <c r="D116" i="10"/>
  <c r="D109" i="10"/>
  <c r="C109" i="10"/>
  <c r="E120" i="10"/>
  <c r="E119" i="10"/>
  <c r="E118" i="10"/>
  <c r="E117" i="10"/>
  <c r="E112" i="10"/>
  <c r="F100" i="10"/>
  <c r="F97" i="10" s="1"/>
  <c r="D100" i="10"/>
  <c r="C116" i="10"/>
  <c r="E115" i="10"/>
  <c r="F114" i="10"/>
  <c r="E114" i="10"/>
  <c r="D114" i="10"/>
  <c r="C114" i="10"/>
  <c r="E113" i="10"/>
  <c r="E111" i="10"/>
  <c r="F110" i="10"/>
  <c r="D110" i="10"/>
  <c r="C110" i="10"/>
  <c r="E108" i="10"/>
  <c r="E107" i="10"/>
  <c r="D106" i="10"/>
  <c r="C106" i="10"/>
  <c r="E105" i="10"/>
  <c r="E104" i="10"/>
  <c r="F103" i="10"/>
  <c r="D103" i="10"/>
  <c r="C103" i="10"/>
  <c r="E102" i="10"/>
  <c r="E101" i="10"/>
  <c r="E100" i="10"/>
  <c r="E99" i="10"/>
  <c r="E98" i="10"/>
  <c r="D97" i="10"/>
  <c r="C97" i="10"/>
  <c r="E96" i="10"/>
  <c r="F95" i="10"/>
  <c r="E95" i="10"/>
  <c r="D95" i="10"/>
  <c r="C95" i="10"/>
  <c r="E94" i="10"/>
  <c r="E93" i="10"/>
  <c r="E92" i="10"/>
  <c r="E91" i="10"/>
  <c r="F90" i="10"/>
  <c r="D90" i="10"/>
  <c r="C90" i="10"/>
  <c r="E87" i="10"/>
  <c r="E86" i="10"/>
  <c r="E85" i="10"/>
  <c r="E84" i="10"/>
  <c r="E83" i="10"/>
  <c r="E82" i="10"/>
  <c r="F80" i="10"/>
  <c r="D80" i="10"/>
  <c r="C80" i="10"/>
  <c r="F29" i="10"/>
  <c r="F43" i="10"/>
  <c r="D43" i="10"/>
  <c r="C43" i="10"/>
  <c r="C24" i="10"/>
  <c r="E262" i="10"/>
  <c r="E261" i="10"/>
  <c r="E260" i="10"/>
  <c r="E259" i="10"/>
  <c r="F258" i="10"/>
  <c r="D258" i="10"/>
  <c r="C258" i="10"/>
  <c r="E257" i="10"/>
  <c r="F256" i="10"/>
  <c r="E256" i="10"/>
  <c r="D256" i="10"/>
  <c r="C256" i="10"/>
  <c r="E255" i="10"/>
  <c r="E254" i="10"/>
  <c r="E253" i="10"/>
  <c r="F252" i="10"/>
  <c r="D252" i="10"/>
  <c r="C252" i="10"/>
  <c r="E251" i="10"/>
  <c r="E250" i="10"/>
  <c r="E249" i="10"/>
  <c r="F248" i="10"/>
  <c r="D248" i="10"/>
  <c r="C248" i="10"/>
  <c r="E247" i="10"/>
  <c r="E246" i="10"/>
  <c r="F245" i="10"/>
  <c r="D245" i="10"/>
  <c r="C245" i="10"/>
  <c r="E244" i="10"/>
  <c r="E243" i="10"/>
  <c r="E242" i="10"/>
  <c r="E241" i="10"/>
  <c r="E240" i="10"/>
  <c r="F239" i="10"/>
  <c r="D239" i="10"/>
  <c r="C239" i="10"/>
  <c r="E238" i="10"/>
  <c r="E237" i="10" s="1"/>
  <c r="F237" i="10"/>
  <c r="D237" i="10"/>
  <c r="C237" i="10"/>
  <c r="E236" i="10"/>
  <c r="E235" i="10"/>
  <c r="E234" i="10"/>
  <c r="E233" i="10"/>
  <c r="F232" i="10"/>
  <c r="D232" i="10"/>
  <c r="C232" i="10"/>
  <c r="E229" i="10"/>
  <c r="E228" i="10"/>
  <c r="E227" i="10"/>
  <c r="E226" i="10"/>
  <c r="E225" i="10"/>
  <c r="E224" i="10"/>
  <c r="F222" i="10"/>
  <c r="D222" i="10"/>
  <c r="C222" i="10"/>
  <c r="E191" i="10"/>
  <c r="E190" i="10"/>
  <c r="E189" i="10"/>
  <c r="E188" i="10"/>
  <c r="F187" i="10"/>
  <c r="C187" i="10"/>
  <c r="E186" i="10"/>
  <c r="E185" i="10" s="1"/>
  <c r="F185" i="10"/>
  <c r="C185" i="10"/>
  <c r="E184" i="10"/>
  <c r="E183" i="10"/>
  <c r="E182" i="10"/>
  <c r="F181" i="10"/>
  <c r="D181" i="10"/>
  <c r="C181" i="10"/>
  <c r="E180" i="10"/>
  <c r="E179" i="10"/>
  <c r="E178" i="10"/>
  <c r="F177" i="10"/>
  <c r="D177" i="10"/>
  <c r="C177" i="10"/>
  <c r="E176" i="10"/>
  <c r="E175" i="10"/>
  <c r="F174" i="10"/>
  <c r="D174" i="10"/>
  <c r="C174" i="10"/>
  <c r="E173" i="10"/>
  <c r="E172" i="10"/>
  <c r="E170" i="10"/>
  <c r="E169" i="10"/>
  <c r="F168" i="10"/>
  <c r="C168" i="10"/>
  <c r="E167" i="10"/>
  <c r="F166" i="10"/>
  <c r="E166" i="10"/>
  <c r="D166" i="10"/>
  <c r="C166" i="10"/>
  <c r="E165" i="10"/>
  <c r="E164" i="10"/>
  <c r="E163" i="10"/>
  <c r="E162" i="10"/>
  <c r="F161" i="10"/>
  <c r="D161" i="10"/>
  <c r="C161" i="10"/>
  <c r="E158" i="10"/>
  <c r="E157" i="10"/>
  <c r="E156" i="10"/>
  <c r="E155" i="10"/>
  <c r="E154" i="10"/>
  <c r="E153" i="10"/>
  <c r="F151" i="10"/>
  <c r="D151" i="10"/>
  <c r="C151" i="10"/>
  <c r="E50" i="10"/>
  <c r="C50" i="10"/>
  <c r="E49" i="10"/>
  <c r="F48" i="10"/>
  <c r="E48" i="10"/>
  <c r="D48" i="10"/>
  <c r="C48" i="10"/>
  <c r="E47" i="10"/>
  <c r="E45" i="10"/>
  <c r="F44" i="10"/>
  <c r="D44" i="10"/>
  <c r="C44" i="10"/>
  <c r="E43" i="10"/>
  <c r="E42" i="10"/>
  <c r="E41" i="10"/>
  <c r="D40" i="10"/>
  <c r="C40" i="10"/>
  <c r="E39" i="10"/>
  <c r="E38" i="10"/>
  <c r="F37" i="10"/>
  <c r="D37" i="10"/>
  <c r="C37" i="10"/>
  <c r="E36" i="10"/>
  <c r="E35" i="10"/>
  <c r="E34" i="10"/>
  <c r="E33" i="10"/>
  <c r="E32" i="10"/>
  <c r="F31" i="10"/>
  <c r="D31" i="10"/>
  <c r="C31" i="10"/>
  <c r="E30" i="10"/>
  <c r="E29" i="10" s="1"/>
  <c r="D29" i="10"/>
  <c r="C29" i="10"/>
  <c r="C22" i="10" s="1"/>
  <c r="E28" i="10"/>
  <c r="E27" i="10"/>
  <c r="E26" i="10"/>
  <c r="E25" i="10"/>
  <c r="F24" i="10"/>
  <c r="D24" i="10"/>
  <c r="E21" i="10"/>
  <c r="E20" i="10"/>
  <c r="E19" i="10"/>
  <c r="E18" i="10"/>
  <c r="E17" i="10"/>
  <c r="E16" i="10"/>
  <c r="F14" i="10"/>
  <c r="D14" i="10"/>
  <c r="C14" i="10"/>
  <c r="D238" i="9"/>
  <c r="F238" i="9"/>
  <c r="F251" i="9"/>
  <c r="D251" i="9"/>
  <c r="D242" i="9"/>
  <c r="C251" i="9"/>
  <c r="F258" i="9"/>
  <c r="D258" i="9"/>
  <c r="E262" i="9"/>
  <c r="E261" i="9"/>
  <c r="E260" i="9"/>
  <c r="E259" i="9"/>
  <c r="F242" i="9"/>
  <c r="C242" i="9"/>
  <c r="E242" i="9" s="1"/>
  <c r="C238" i="9"/>
  <c r="F180" i="9"/>
  <c r="D180" i="9"/>
  <c r="D181" i="9"/>
  <c r="C180" i="9"/>
  <c r="F171" i="9"/>
  <c r="F168" i="9" s="1"/>
  <c r="D171" i="9"/>
  <c r="C171" i="9"/>
  <c r="C168" i="9" s="1"/>
  <c r="E191" i="9"/>
  <c r="E190" i="9"/>
  <c r="E189" i="9"/>
  <c r="E188" i="9"/>
  <c r="F187" i="9"/>
  <c r="D187" i="9"/>
  <c r="C187" i="9"/>
  <c r="E186" i="9"/>
  <c r="F185" i="9"/>
  <c r="E185" i="9"/>
  <c r="D185" i="9"/>
  <c r="C185" i="9"/>
  <c r="E184" i="9"/>
  <c r="E183" i="9"/>
  <c r="E182" i="9"/>
  <c r="F181" i="9"/>
  <c r="C181" i="9"/>
  <c r="E180" i="9"/>
  <c r="E179" i="9"/>
  <c r="E178" i="9"/>
  <c r="F177" i="9"/>
  <c r="D177" i="9"/>
  <c r="C177" i="9"/>
  <c r="E176" i="9"/>
  <c r="E175" i="9"/>
  <c r="F174" i="9"/>
  <c r="D174" i="9"/>
  <c r="C174" i="9"/>
  <c r="E173" i="9"/>
  <c r="E172" i="9"/>
  <c r="E171" i="9"/>
  <c r="E170" i="9"/>
  <c r="E169" i="9"/>
  <c r="E167" i="9"/>
  <c r="F166" i="9"/>
  <c r="E166" i="9"/>
  <c r="D166" i="9"/>
  <c r="C166" i="9"/>
  <c r="E165" i="9"/>
  <c r="E164" i="9"/>
  <c r="E163" i="9"/>
  <c r="E162" i="9"/>
  <c r="F161" i="9"/>
  <c r="D161" i="9"/>
  <c r="C161" i="9"/>
  <c r="E158" i="9"/>
  <c r="E157" i="9"/>
  <c r="E156" i="9"/>
  <c r="E155" i="9"/>
  <c r="E154" i="9"/>
  <c r="E153" i="9"/>
  <c r="F151" i="9"/>
  <c r="D151" i="9"/>
  <c r="C151" i="9"/>
  <c r="F109" i="9"/>
  <c r="F95" i="9"/>
  <c r="F106" i="9"/>
  <c r="D106" i="9"/>
  <c r="F116" i="9"/>
  <c r="D116" i="9"/>
  <c r="D109" i="9"/>
  <c r="D110" i="9"/>
  <c r="C109" i="9"/>
  <c r="E109" i="9" s="1"/>
  <c r="E120" i="9"/>
  <c r="E119" i="9"/>
  <c r="E118" i="9"/>
  <c r="E117" i="9"/>
  <c r="E112" i="9"/>
  <c r="E113" i="9"/>
  <c r="E104" i="9"/>
  <c r="F100" i="9"/>
  <c r="F97" i="9" s="1"/>
  <c r="D100" i="9"/>
  <c r="C116" i="9"/>
  <c r="E115" i="9"/>
  <c r="F114" i="9"/>
  <c r="E114" i="9"/>
  <c r="D114" i="9"/>
  <c r="C114" i="9"/>
  <c r="E111" i="9"/>
  <c r="E110" i="9" s="1"/>
  <c r="F110" i="9"/>
  <c r="C110" i="9"/>
  <c r="E108" i="9"/>
  <c r="E107" i="9"/>
  <c r="C106" i="9"/>
  <c r="E105" i="9"/>
  <c r="F103" i="9"/>
  <c r="E103" i="9"/>
  <c r="D103" i="9"/>
  <c r="C103" i="9"/>
  <c r="E102" i="9"/>
  <c r="E101" i="9"/>
  <c r="E100" i="9"/>
  <c r="E99" i="9"/>
  <c r="E98" i="9"/>
  <c r="D97" i="9"/>
  <c r="C97" i="9"/>
  <c r="E96" i="9"/>
  <c r="E95" i="9" s="1"/>
  <c r="D95" i="9"/>
  <c r="C95" i="9"/>
  <c r="E94" i="9"/>
  <c r="E93" i="9"/>
  <c r="E92" i="9"/>
  <c r="E91" i="9"/>
  <c r="F90" i="9"/>
  <c r="D90" i="9"/>
  <c r="C90" i="9"/>
  <c r="E87" i="9"/>
  <c r="E86" i="9"/>
  <c r="E85" i="9"/>
  <c r="E84" i="9"/>
  <c r="E83" i="9"/>
  <c r="E82" i="9"/>
  <c r="F80" i="9"/>
  <c r="D80" i="9"/>
  <c r="C80" i="9"/>
  <c r="F43" i="9"/>
  <c r="D43" i="9"/>
  <c r="E43" i="9" s="1"/>
  <c r="C43" i="9"/>
  <c r="F225" i="3"/>
  <c r="F223" i="3" s="1"/>
  <c r="D225" i="3"/>
  <c r="F252" i="3"/>
  <c r="D252" i="3"/>
  <c r="F242" i="3"/>
  <c r="D242" i="3"/>
  <c r="F241" i="3"/>
  <c r="F240" i="3" s="1"/>
  <c r="D241" i="3"/>
  <c r="F243" i="3"/>
  <c r="D243" i="3"/>
  <c r="F245" i="3"/>
  <c r="D245" i="3"/>
  <c r="F229" i="3"/>
  <c r="D229" i="3"/>
  <c r="D228" i="3"/>
  <c r="E228" i="3" s="1"/>
  <c r="F228" i="3"/>
  <c r="F157" i="3"/>
  <c r="F156" i="3"/>
  <c r="F153" i="3"/>
  <c r="F151" i="3" s="1"/>
  <c r="D157" i="3"/>
  <c r="D156" i="3"/>
  <c r="E156" i="3" s="1"/>
  <c r="D153" i="3"/>
  <c r="C258" i="9"/>
  <c r="E257" i="9"/>
  <c r="E256" i="9" s="1"/>
  <c r="F256" i="9"/>
  <c r="D256" i="9"/>
  <c r="C256" i="9"/>
  <c r="E255" i="9"/>
  <c r="E254" i="9"/>
  <c r="E253" i="9"/>
  <c r="F252" i="9"/>
  <c r="D252" i="9"/>
  <c r="C252" i="9"/>
  <c r="E251" i="9"/>
  <c r="E250" i="9"/>
  <c r="E249" i="9"/>
  <c r="F248" i="9"/>
  <c r="D248" i="9"/>
  <c r="C248" i="9"/>
  <c r="E247" i="9"/>
  <c r="E246" i="9"/>
  <c r="F245" i="9"/>
  <c r="D245" i="9"/>
  <c r="C245" i="9"/>
  <c r="E244" i="9"/>
  <c r="E243" i="9"/>
  <c r="E241" i="9"/>
  <c r="E240" i="9"/>
  <c r="F239" i="9"/>
  <c r="D239" i="9"/>
  <c r="C239" i="9"/>
  <c r="E238" i="9"/>
  <c r="F237" i="9"/>
  <c r="E237" i="9"/>
  <c r="D237" i="9"/>
  <c r="C237" i="9"/>
  <c r="E236" i="9"/>
  <c r="E235" i="9"/>
  <c r="E234" i="9"/>
  <c r="E233" i="9"/>
  <c r="F232" i="9"/>
  <c r="D232" i="9"/>
  <c r="C232" i="9"/>
  <c r="E229" i="9"/>
  <c r="E228" i="9"/>
  <c r="E227" i="9"/>
  <c r="E226" i="9"/>
  <c r="E225" i="9"/>
  <c r="E224" i="9"/>
  <c r="F222" i="9"/>
  <c r="D222" i="9"/>
  <c r="C222" i="9"/>
  <c r="E50" i="9"/>
  <c r="C50" i="9"/>
  <c r="E49" i="9"/>
  <c r="F48" i="9"/>
  <c r="E48" i="9"/>
  <c r="D48" i="9"/>
  <c r="C48" i="9"/>
  <c r="E47" i="9"/>
  <c r="E45" i="9"/>
  <c r="E44" i="9" s="1"/>
  <c r="F44" i="9"/>
  <c r="D44" i="9"/>
  <c r="C44" i="9"/>
  <c r="E42" i="9"/>
  <c r="E41" i="9"/>
  <c r="D40" i="9"/>
  <c r="C40" i="9"/>
  <c r="E39" i="9"/>
  <c r="E38" i="9"/>
  <c r="F37" i="9"/>
  <c r="D37" i="9"/>
  <c r="C37" i="9"/>
  <c r="E36" i="9"/>
  <c r="E35" i="9"/>
  <c r="E34" i="9"/>
  <c r="E33" i="9"/>
  <c r="E32" i="9"/>
  <c r="F31" i="9"/>
  <c r="D31" i="9"/>
  <c r="C31" i="9"/>
  <c r="E30" i="9"/>
  <c r="E29" i="9" s="1"/>
  <c r="D29" i="9"/>
  <c r="C29" i="9"/>
  <c r="E28" i="9"/>
  <c r="E27" i="9"/>
  <c r="E26" i="9"/>
  <c r="E25" i="9"/>
  <c r="F24" i="9"/>
  <c r="D24" i="9"/>
  <c r="C24" i="9"/>
  <c r="C22" i="9" s="1"/>
  <c r="E21" i="9"/>
  <c r="E20" i="9"/>
  <c r="E19" i="9"/>
  <c r="E18" i="9"/>
  <c r="E17" i="9"/>
  <c r="E16" i="9"/>
  <c r="F14" i="9"/>
  <c r="D14" i="9"/>
  <c r="C14" i="9"/>
  <c r="C252" i="3"/>
  <c r="E245" i="3"/>
  <c r="C243" i="3"/>
  <c r="C240" i="3" s="1"/>
  <c r="C180" i="3"/>
  <c r="F109" i="3"/>
  <c r="D109" i="3"/>
  <c r="E100" i="3"/>
  <c r="E101" i="3"/>
  <c r="E102" i="3"/>
  <c r="F43" i="3"/>
  <c r="E34" i="3"/>
  <c r="E35" i="3"/>
  <c r="E36" i="3"/>
  <c r="D43" i="3"/>
  <c r="E259" i="3"/>
  <c r="C259" i="3"/>
  <c r="E258" i="3"/>
  <c r="F257" i="3"/>
  <c r="E257" i="3"/>
  <c r="D257" i="3"/>
  <c r="C257" i="3"/>
  <c r="E256" i="3"/>
  <c r="E255" i="3"/>
  <c r="E254" i="3"/>
  <c r="E253" i="3" s="1"/>
  <c r="F253" i="3"/>
  <c r="D253" i="3"/>
  <c r="C253" i="3"/>
  <c r="E252" i="3"/>
  <c r="E251" i="3"/>
  <c r="E250" i="3"/>
  <c r="F249" i="3"/>
  <c r="D249" i="3"/>
  <c r="C249" i="3"/>
  <c r="E248" i="3"/>
  <c r="E247" i="3"/>
  <c r="F246" i="3"/>
  <c r="D246" i="3"/>
  <c r="C246" i="3"/>
  <c r="E244" i="3"/>
  <c r="E242" i="3"/>
  <c r="E241" i="3"/>
  <c r="D240" i="3"/>
  <c r="E239" i="3"/>
  <c r="E238" i="3" s="1"/>
  <c r="F238" i="3"/>
  <c r="D238" i="3"/>
  <c r="C238" i="3"/>
  <c r="E237" i="3"/>
  <c r="E236" i="3"/>
  <c r="E235" i="3"/>
  <c r="E234" i="3"/>
  <c r="F233" i="3"/>
  <c r="D233" i="3"/>
  <c r="C233" i="3"/>
  <c r="D231" i="3"/>
  <c r="E230" i="3"/>
  <c r="E229" i="3"/>
  <c r="E227" i="3"/>
  <c r="E226" i="3"/>
  <c r="E225" i="3"/>
  <c r="D223" i="3"/>
  <c r="D264" i="3" s="1"/>
  <c r="C223" i="3"/>
  <c r="F180" i="3"/>
  <c r="F166" i="3"/>
  <c r="D180" i="3"/>
  <c r="E180" i="3" s="1"/>
  <c r="F171" i="3"/>
  <c r="E172" i="3"/>
  <c r="D171" i="3"/>
  <c r="C171" i="3"/>
  <c r="E171" i="3" s="1"/>
  <c r="E182" i="3"/>
  <c r="E178" i="3"/>
  <c r="E187" i="3"/>
  <c r="C187" i="3"/>
  <c r="E186" i="3"/>
  <c r="E185" i="3" s="1"/>
  <c r="F185" i="3"/>
  <c r="D185" i="3"/>
  <c r="C185" i="3"/>
  <c r="E184" i="3"/>
  <c r="E183" i="3"/>
  <c r="F181" i="3"/>
  <c r="D181" i="3"/>
  <c r="C181" i="3"/>
  <c r="E179" i="3"/>
  <c r="F177" i="3"/>
  <c r="D177" i="3"/>
  <c r="C177" i="3"/>
  <c r="E176" i="3"/>
  <c r="E175" i="3"/>
  <c r="F174" i="3"/>
  <c r="D174" i="3"/>
  <c r="C174" i="3"/>
  <c r="E170" i="3"/>
  <c r="E169" i="3"/>
  <c r="F168" i="3"/>
  <c r="D168" i="3"/>
  <c r="C168" i="3"/>
  <c r="E167" i="3"/>
  <c r="E166" i="3" s="1"/>
  <c r="D166" i="3"/>
  <c r="C166" i="3"/>
  <c r="E165" i="3"/>
  <c r="E164" i="3"/>
  <c r="E163" i="3"/>
  <c r="E162" i="3"/>
  <c r="F161" i="3"/>
  <c r="D161" i="3"/>
  <c r="C161" i="3"/>
  <c r="E158" i="3"/>
  <c r="E157" i="3"/>
  <c r="E155" i="3"/>
  <c r="E154" i="3"/>
  <c r="E153" i="3"/>
  <c r="D151" i="3"/>
  <c r="C151" i="3"/>
  <c r="F106" i="3"/>
  <c r="C109" i="3"/>
  <c r="E109" i="3" s="1"/>
  <c r="E98" i="3"/>
  <c r="E99" i="3"/>
  <c r="E32" i="3"/>
  <c r="E33" i="3"/>
  <c r="C43" i="3"/>
  <c r="E43" i="3" s="1"/>
  <c r="E112" i="3"/>
  <c r="E116" i="3"/>
  <c r="C116" i="3"/>
  <c r="E115" i="3"/>
  <c r="F114" i="3"/>
  <c r="E114" i="3"/>
  <c r="D114" i="3"/>
  <c r="C114" i="3"/>
  <c r="E113" i="3"/>
  <c r="E111" i="3"/>
  <c r="F110" i="3"/>
  <c r="D110" i="3"/>
  <c r="C110" i="3"/>
  <c r="E108" i="3"/>
  <c r="E107" i="3"/>
  <c r="D106" i="3"/>
  <c r="C106" i="3"/>
  <c r="E105" i="3"/>
  <c r="E104" i="3"/>
  <c r="F103" i="3"/>
  <c r="D103" i="3"/>
  <c r="C103" i="3"/>
  <c r="F97" i="3"/>
  <c r="E97" i="3"/>
  <c r="D97" i="3"/>
  <c r="C97" i="3"/>
  <c r="E96" i="3"/>
  <c r="E95" i="3" s="1"/>
  <c r="D95" i="3"/>
  <c r="C95" i="3"/>
  <c r="E94" i="3"/>
  <c r="E93" i="3"/>
  <c r="E92" i="3"/>
  <c r="E91" i="3"/>
  <c r="F90" i="3"/>
  <c r="D90" i="3"/>
  <c r="C90" i="3"/>
  <c r="E87" i="3"/>
  <c r="E86" i="3"/>
  <c r="E85" i="3"/>
  <c r="E84" i="3"/>
  <c r="E83" i="3"/>
  <c r="E82" i="3"/>
  <c r="F80" i="3"/>
  <c r="D80" i="3"/>
  <c r="C80" i="3"/>
  <c r="E20" i="3"/>
  <c r="E19" i="3"/>
  <c r="E18" i="3"/>
  <c r="E17" i="3"/>
  <c r="E16" i="3"/>
  <c r="F37" i="3"/>
  <c r="D40" i="3"/>
  <c r="D37" i="3"/>
  <c r="D48" i="3"/>
  <c r="F48" i="3"/>
  <c r="E49" i="3"/>
  <c r="F44" i="3"/>
  <c r="D44" i="3"/>
  <c r="E47" i="3"/>
  <c r="E45" i="3"/>
  <c r="E42" i="3"/>
  <c r="E41" i="3"/>
  <c r="E39" i="3"/>
  <c r="E38" i="3"/>
  <c r="D29" i="3"/>
  <c r="E30" i="3"/>
  <c r="F31" i="3"/>
  <c r="D31" i="3"/>
  <c r="F24" i="3"/>
  <c r="D24" i="3"/>
  <c r="D22" i="3" s="1"/>
  <c r="E28" i="3"/>
  <c r="E27" i="3"/>
  <c r="E26" i="3"/>
  <c r="E25" i="3"/>
  <c r="F14" i="3"/>
  <c r="E21" i="3"/>
  <c r="D14" i="3"/>
  <c r="D159" i="3" l="1"/>
  <c r="D192" i="3" s="1"/>
  <c r="E243" i="3"/>
  <c r="D22" i="10"/>
  <c r="D55" i="10" s="1"/>
  <c r="E229" i="11"/>
  <c r="E106" i="9"/>
  <c r="D168" i="10"/>
  <c r="E116" i="10"/>
  <c r="E109" i="10"/>
  <c r="F22" i="3"/>
  <c r="F55" i="3" s="1"/>
  <c r="E40" i="9"/>
  <c r="E116" i="9"/>
  <c r="E181" i="10"/>
  <c r="E245" i="9"/>
  <c r="D88" i="10"/>
  <c r="E258" i="9"/>
  <c r="E37" i="9"/>
  <c r="E22" i="11"/>
  <c r="E55" i="11" s="1"/>
  <c r="E44" i="10"/>
  <c r="E187" i="10"/>
  <c r="E103" i="10"/>
  <c r="E37" i="10"/>
  <c r="D159" i="10"/>
  <c r="E258" i="10"/>
  <c r="C230" i="10"/>
  <c r="E110" i="10"/>
  <c r="D88" i="3"/>
  <c r="D121" i="3" s="1"/>
  <c r="E103" i="3"/>
  <c r="E174" i="3"/>
  <c r="E246" i="3"/>
  <c r="E110" i="3"/>
  <c r="E266" i="12"/>
  <c r="E193" i="12"/>
  <c r="E90" i="12"/>
  <c r="E123" i="12" s="1"/>
  <c r="E22" i="12"/>
  <c r="E55" i="12" s="1"/>
  <c r="E262" i="11"/>
  <c r="E252" i="10"/>
  <c r="D230" i="10"/>
  <c r="D263" i="10" s="1"/>
  <c r="E248" i="10"/>
  <c r="E245" i="10"/>
  <c r="E239" i="10"/>
  <c r="F230" i="10"/>
  <c r="E232" i="10"/>
  <c r="F263" i="10"/>
  <c r="C263" i="10"/>
  <c r="E222" i="10"/>
  <c r="F159" i="10"/>
  <c r="F192" i="10" s="1"/>
  <c r="D192" i="10"/>
  <c r="E177" i="10"/>
  <c r="E174" i="10"/>
  <c r="E168" i="10"/>
  <c r="C159" i="10"/>
  <c r="C192" i="10" s="1"/>
  <c r="E161" i="10"/>
  <c r="E151" i="10"/>
  <c r="E106" i="10"/>
  <c r="E97" i="10"/>
  <c r="F88" i="10"/>
  <c r="F121" i="10" s="1"/>
  <c r="C88" i="10"/>
  <c r="C121" i="10" s="1"/>
  <c r="E90" i="10"/>
  <c r="D121" i="10"/>
  <c r="E80" i="10"/>
  <c r="E31" i="10"/>
  <c r="E40" i="10"/>
  <c r="F22" i="10"/>
  <c r="F55" i="10" s="1"/>
  <c r="E24" i="10"/>
  <c r="C55" i="10"/>
  <c r="E14" i="10"/>
  <c r="D230" i="9"/>
  <c r="D263" i="9" s="1"/>
  <c r="E252" i="9"/>
  <c r="E248" i="9"/>
  <c r="F230" i="9"/>
  <c r="F263" i="9" s="1"/>
  <c r="E239" i="9"/>
  <c r="C230" i="9"/>
  <c r="C263" i="9" s="1"/>
  <c r="E232" i="9"/>
  <c r="E222" i="9"/>
  <c r="E187" i="9"/>
  <c r="E181" i="9"/>
  <c r="E177" i="9"/>
  <c r="E174" i="9"/>
  <c r="E168" i="9"/>
  <c r="F159" i="9"/>
  <c r="F192" i="9" s="1"/>
  <c r="E161" i="9"/>
  <c r="C159" i="9"/>
  <c r="C192" i="9" s="1"/>
  <c r="E151" i="9"/>
  <c r="D168" i="9"/>
  <c r="D159" i="9" s="1"/>
  <c r="D192" i="9" s="1"/>
  <c r="D88" i="9"/>
  <c r="D121" i="9" s="1"/>
  <c r="C88" i="9"/>
  <c r="C121" i="9" s="1"/>
  <c r="E97" i="9"/>
  <c r="F88" i="9"/>
  <c r="F121" i="9" s="1"/>
  <c r="E90" i="9"/>
  <c r="E80" i="9"/>
  <c r="F22" i="9"/>
  <c r="F55" i="9" s="1"/>
  <c r="E31" i="9"/>
  <c r="D22" i="9"/>
  <c r="D55" i="9" s="1"/>
  <c r="E24" i="9"/>
  <c r="C55" i="9"/>
  <c r="E14" i="9"/>
  <c r="E181" i="3"/>
  <c r="E14" i="3"/>
  <c r="F231" i="3"/>
  <c r="F264" i="3" s="1"/>
  <c r="E240" i="3"/>
  <c r="E249" i="3"/>
  <c r="C231" i="3"/>
  <c r="C264" i="3" s="1"/>
  <c r="E233" i="3"/>
  <c r="E223" i="3"/>
  <c r="F88" i="3"/>
  <c r="F121" i="3" s="1"/>
  <c r="E177" i="3"/>
  <c r="E168" i="3"/>
  <c r="F159" i="3"/>
  <c r="F192" i="3" s="1"/>
  <c r="C159" i="3"/>
  <c r="E161" i="3"/>
  <c r="C192" i="3"/>
  <c r="E151" i="3"/>
  <c r="E106" i="3"/>
  <c r="C88" i="3"/>
  <c r="C121" i="3" s="1"/>
  <c r="E90" i="3"/>
  <c r="E88" i="3" s="1"/>
  <c r="E80" i="3"/>
  <c r="D55" i="3"/>
  <c r="E24" i="3"/>
  <c r="E50" i="3"/>
  <c r="E48" i="3"/>
  <c r="E44" i="3"/>
  <c r="E40" i="3"/>
  <c r="E37" i="3"/>
  <c r="E31" i="3"/>
  <c r="E29" i="3"/>
  <c r="E230" i="9" l="1"/>
  <c r="E263" i="9" s="1"/>
  <c r="E230" i="10"/>
  <c r="E263" i="10" s="1"/>
  <c r="E159" i="10"/>
  <c r="E192" i="10" s="1"/>
  <c r="E88" i="10"/>
  <c r="E121" i="10" s="1"/>
  <c r="E22" i="10"/>
  <c r="E55" i="10" s="1"/>
  <c r="E159" i="9"/>
  <c r="E192" i="9" s="1"/>
  <c r="E88" i="9"/>
  <c r="E121" i="9" s="1"/>
  <c r="E22" i="9"/>
  <c r="E55" i="9" s="1"/>
  <c r="E231" i="3"/>
  <c r="E264" i="3" s="1"/>
  <c r="E159" i="3"/>
  <c r="E192" i="3" s="1"/>
  <c r="E121" i="3"/>
  <c r="E22" i="3"/>
  <c r="E55" i="3" s="1"/>
  <c r="C31" i="3"/>
  <c r="C50" i="3" l="1"/>
  <c r="C40" i="3"/>
  <c r="C37" i="3"/>
  <c r="C44" i="3"/>
  <c r="C24" i="3"/>
  <c r="C29" i="3"/>
  <c r="C14" i="3"/>
  <c r="C48" i="3"/>
  <c r="C22" i="3" l="1"/>
  <c r="C55" i="3" s="1"/>
</calcChain>
</file>

<file path=xl/sharedStrings.xml><?xml version="1.0" encoding="utf-8"?>
<sst xmlns="http://schemas.openxmlformats.org/spreadsheetml/2006/main" count="1215" uniqueCount="82">
  <si>
    <t>UNIDAD PRESUPUESTARIA: 06 - ADMINISTRACION DEL SISTEMA PENITENCIARIO</t>
  </si>
  <si>
    <t>UNIDAD SECUNDARIA FINANCIERA</t>
  </si>
  <si>
    <t>AREA DE PRESUPUESTO</t>
  </si>
  <si>
    <t>TOTAL GENERAL</t>
  </si>
  <si>
    <t>RUBRO 51 - REMUNERACIONES</t>
  </si>
  <si>
    <t xml:space="preserve">          * Servicios de Energía Eléctrica</t>
  </si>
  <si>
    <t xml:space="preserve">          * Servicios de Agua potable</t>
  </si>
  <si>
    <t xml:space="preserve">          * Servicios de Telecomunicaciones</t>
  </si>
  <si>
    <t xml:space="preserve">          * Servicios de Correos</t>
  </si>
  <si>
    <t xml:space="preserve">          * Arrendamiento de Bienes Muebles</t>
  </si>
  <si>
    <t xml:space="preserve">          * Arrendamiento de Bienes Inmuebles</t>
  </si>
  <si>
    <t>SERVICIOS BASICOS</t>
  </si>
  <si>
    <t>SERVICIOS DE ALIMENTACION</t>
  </si>
  <si>
    <t>ARRENDAMIENTOS DIVERSOS</t>
  </si>
  <si>
    <t>OTROS</t>
  </si>
  <si>
    <t xml:space="preserve">          *Impuestos Municipales y desechos sólidos de los Centros Penales</t>
  </si>
  <si>
    <t>Alimentación de Internos</t>
  </si>
  <si>
    <t xml:space="preserve">          * Adquisición de Combustible y Lubricantes</t>
  </si>
  <si>
    <t xml:space="preserve">          * Adquisición de  Material Informático</t>
  </si>
  <si>
    <t xml:space="preserve">          * Adquisición de Medicamentos y Material Médico-Quirúrgico</t>
  </si>
  <si>
    <t xml:space="preserve">          * Adquisición de Agua Purificada para las Unidades y C.P.</t>
  </si>
  <si>
    <t>ADQUISICIONES NECESARIAS</t>
  </si>
  <si>
    <t>RUBRO 55-GASTOS FINANCIEROS Y OTROS</t>
  </si>
  <si>
    <t xml:space="preserve">          *Pólizas de Seguros de la Flota Vehicular</t>
  </si>
  <si>
    <t>RUBRO 56-TRANSFERENCIAS CORRIENTES</t>
  </si>
  <si>
    <t xml:space="preserve">          *Subsidios por Gastos Funerales a familiares de empleados fallecidos</t>
  </si>
  <si>
    <t>MANTENIMIENTOS PREVENTIVOS Y CORRECTIVOS</t>
  </si>
  <si>
    <t xml:space="preserve">          * Mantenimiento de bienes muebles</t>
  </si>
  <si>
    <t xml:space="preserve">          * Mantenimiento de Vehiculos</t>
  </si>
  <si>
    <t>RUBRO 54-ADQUISICIONES DE BIENES Y SERVICIOS</t>
  </si>
  <si>
    <t xml:space="preserve">          * Adquisición de Papel Bond</t>
  </si>
  <si>
    <t xml:space="preserve">          * Salarios</t>
  </si>
  <si>
    <t xml:space="preserve">          * Aguinaldos</t>
  </si>
  <si>
    <t xml:space="preserve">          * Aportaciones ISSS</t>
  </si>
  <si>
    <t xml:space="preserve">          * Aportaciones AFP´S</t>
  </si>
  <si>
    <t xml:space="preserve">          * Indemnizaciones de ex-empleados que interponen demandas</t>
  </si>
  <si>
    <t>DIRECCION GENERAL DE CENTROS PENALES</t>
  </si>
  <si>
    <t xml:space="preserve">          *Multas o recargos por pagos extemporaneos</t>
  </si>
  <si>
    <t>RUBRO 61-INVERSIONES EN ACTIVOS FIJOS</t>
  </si>
  <si>
    <t xml:space="preserve">          *Derechos de Propiedad Intelectual</t>
  </si>
  <si>
    <t xml:space="preserve">          * Beneficios Adicionales</t>
  </si>
  <si>
    <t>LINEA DE TRABAJO : 01- RECLUSION Y REHABILITACION</t>
  </si>
  <si>
    <t xml:space="preserve">          *Adquisición de Mobiliarios</t>
  </si>
  <si>
    <t xml:space="preserve">          *Adquisición de Equipo Informático</t>
  </si>
  <si>
    <t>PRESUPUESTO MODIFICADO</t>
  </si>
  <si>
    <t xml:space="preserve">          *Adquisición de Repuestos Principales (Compresores)</t>
  </si>
  <si>
    <t>MODIFICACIONES PRESUPUESTARIAS</t>
  </si>
  <si>
    <t>PRESUPUESTO EJECUTADO</t>
  </si>
  <si>
    <t>PRESUPUESTO VOTADO</t>
  </si>
  <si>
    <t>A ENERO</t>
  </si>
  <si>
    <t>A MARZO</t>
  </si>
  <si>
    <t>FUENTE DE FINANCIAMIENTO: FONDO GENERAL</t>
  </si>
  <si>
    <t>DESCRIPCION</t>
  </si>
  <si>
    <t xml:space="preserve">                       DETALLE DE PRESUPUESTO VOTADO, MODIFICADO Y EJECUTADO/2011</t>
  </si>
  <si>
    <t>A JUNIO</t>
  </si>
  <si>
    <t xml:space="preserve">A SEPTIEMBRE </t>
  </si>
  <si>
    <t xml:space="preserve">                       DETALLE DE PRESUPUESTO VOTADO, MODIFICADO Y EJECUTADO/2012</t>
  </si>
  <si>
    <t xml:space="preserve">                       DETALLE DE PRESUPUESTO VOTADO, MODIFICADO Y EJECUTADO/2013</t>
  </si>
  <si>
    <t xml:space="preserve">                       DETALLE DE PRESUPUESTO VOTADO, MODIFICADO Y EJECUTADO/2014</t>
  </si>
  <si>
    <t xml:space="preserve">                       DETALLE DE PRESUPUESTO VOTADO, MODIFICADO Y EJECUTADO/2015</t>
  </si>
  <si>
    <t>Remuneraciones Diversas</t>
  </si>
  <si>
    <t>Remuneraciones diversas</t>
  </si>
  <si>
    <t xml:space="preserve">          * Remuneraciones Diversas </t>
  </si>
  <si>
    <t>UNIDAD PRESUPUESTARIA: 09 - INFRAESTRUCTURA PENITENCIARIA</t>
  </si>
  <si>
    <t>LINEA DE TRABAJO : 01- CONSTRUCCION, REPARACION Y EQUIPAMIENTO DE CENTROS PENALES</t>
  </si>
  <si>
    <t xml:space="preserve">          * Bienes Muebles Diversos </t>
  </si>
  <si>
    <t>LINEA DE TRABAJO: 01 - CONSTRUCCION, REPARACION, REMODELACION Y EQUIPAMIENTO DE CENTROS PENALES</t>
  </si>
  <si>
    <t>PROYECTOS</t>
  </si>
  <si>
    <t>PRESUPUESTO ASIGNADO-VOTADO</t>
  </si>
  <si>
    <t>4444- CONSTRUCCION DE EDIFICIO MODULAR EN EL CENTRO DE MUJERES, ILOPANGO.</t>
  </si>
  <si>
    <t>4445- AMPLIACION DEL CENTRO PENITENCIARIO DE QUEZALTEPEQUE.</t>
  </si>
  <si>
    <t>5518- READECUACION DEL AREA DE VISITAS DE LOS CENTROS PENITENCIARIOS DE QUEZALTEPEQUE Y CIUDAD BARRIOS</t>
  </si>
  <si>
    <t>5748- OBRAS COMPLEMENTARIAS PARA FINALIZACION DEL COMPLEJO PENITENCIARIO DE SEGURIDAD IZALCO FASE III</t>
  </si>
  <si>
    <t>5896- ADQUISICION DE UN SISTEMA DE BRAZALETES ELECTRONICOS</t>
  </si>
  <si>
    <t>5897- AMPLIACION DE CENTRO PENAL DE IZALCO</t>
  </si>
  <si>
    <t>5899- READECUACION DE GRANJA PENITENCIARIA DE ZACATECOLUCA, DEPARTAMENTO DE LA PAZ</t>
  </si>
  <si>
    <t>5903- READECUACION DE GRANJA PENITENCIARIA DE IZALCO, DEPARTAMENTO DE SONSONATE.</t>
  </si>
  <si>
    <t>5904- READECUACION DE GRANJA PENITENCIARIA EN EL DEPARTAMENTO DE SANTA ANA</t>
  </si>
  <si>
    <t>6162- FORTALECIMIENTO INSTITUCIONAL PRESTAMO BCIE 2102</t>
  </si>
  <si>
    <t>5896-ADQUISICION DE UN SISTEMA DE BRAZALETES ELECTRONICOS</t>
  </si>
  <si>
    <t>NOTA: EL PRESENTE INFORME INCLUYE FUENTES DE FINANCIAMIENTO: FONDO GENERAL Y PRESTAMOS EXTERNOS.</t>
  </si>
  <si>
    <t>* EN  ESTE PERIODO NO HUBO EJECUCION DE PROYECTOS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</si>
</sst>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20"/>
      <name val="Bookman Old Style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8"/>
      <name val="Bookman Old Style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4" fillId="0" borderId="0" xfId="0" applyFont="1"/>
    <xf numFmtId="164" fontId="9" fillId="0" borderId="1" xfId="1" applyNumberFormat="1" applyFont="1" applyFill="1" applyBorder="1"/>
    <xf numFmtId="164" fontId="6" fillId="0" borderId="2" xfId="1" applyNumberFormat="1" applyFont="1" applyBorder="1"/>
    <xf numFmtId="164" fontId="7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5" fillId="2" borderId="3" xfId="0" applyFont="1" applyFill="1" applyBorder="1"/>
    <xf numFmtId="0" fontId="6" fillId="2" borderId="3" xfId="0" applyFont="1" applyFill="1" applyBorder="1"/>
    <xf numFmtId="0" fontId="5" fillId="0" borderId="2" xfId="0" applyFont="1" applyBorder="1"/>
    <xf numFmtId="0" fontId="8" fillId="1" borderId="4" xfId="0" applyFont="1" applyFill="1" applyBorder="1" applyAlignment="1">
      <alignment vertical="center" wrapText="1"/>
    </xf>
    <xf numFmtId="0" fontId="12" fillId="3" borderId="4" xfId="0" applyFont="1" applyFill="1" applyBorder="1"/>
    <xf numFmtId="0" fontId="6" fillId="0" borderId="3" xfId="0" applyFont="1" applyBorder="1" applyAlignment="1">
      <alignment horizontal="left"/>
    </xf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164" fontId="5" fillId="0" borderId="9" xfId="0" applyNumberFormat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10" xfId="0" applyNumberFormat="1" applyFont="1" applyBorder="1"/>
    <xf numFmtId="0" fontId="6" fillId="0" borderId="11" xfId="0" applyFont="1" applyBorder="1"/>
    <xf numFmtId="164" fontId="6" fillId="0" borderId="9" xfId="1" applyNumberFormat="1" applyFont="1" applyBorder="1"/>
    <xf numFmtId="0" fontId="6" fillId="0" borderId="14" xfId="0" applyFont="1" applyBorder="1"/>
    <xf numFmtId="164" fontId="8" fillId="0" borderId="1" xfId="1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3" xfId="1" applyNumberFormat="1" applyFont="1" applyBorder="1"/>
    <xf numFmtId="164" fontId="6" fillId="0" borderId="12" xfId="1" applyNumberFormat="1" applyFont="1" applyBorder="1"/>
    <xf numFmtId="0" fontId="3" fillId="0" borderId="0" xfId="0" applyFont="1" applyAlignment="1"/>
    <xf numFmtId="0" fontId="1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ill="1"/>
    <xf numFmtId="0" fontId="14" fillId="0" borderId="0" xfId="0" applyFont="1" applyFill="1" applyAlignment="1"/>
    <xf numFmtId="164" fontId="6" fillId="0" borderId="15" xfId="0" applyNumberFormat="1" applyFont="1" applyFill="1" applyBorder="1"/>
    <xf numFmtId="164" fontId="5" fillId="0" borderId="9" xfId="0" applyNumberFormat="1" applyFont="1" applyFill="1" applyBorder="1"/>
    <xf numFmtId="164" fontId="6" fillId="0" borderId="3" xfId="0" applyNumberFormat="1" applyFont="1" applyFill="1" applyBorder="1"/>
    <xf numFmtId="164" fontId="7" fillId="0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/>
    <xf numFmtId="164" fontId="15" fillId="0" borderId="3" xfId="0" applyNumberFormat="1" applyFont="1" applyFill="1" applyBorder="1"/>
    <xf numFmtId="164" fontId="8" fillId="0" borderId="1" xfId="1" applyNumberFormat="1" applyFont="1" applyFill="1" applyBorder="1"/>
    <xf numFmtId="164" fontId="6" fillId="0" borderId="3" xfId="1" applyNumberFormat="1" applyFont="1" applyFill="1" applyBorder="1"/>
    <xf numFmtId="164" fontId="6" fillId="0" borderId="2" xfId="1" applyNumberFormat="1" applyFont="1" applyFill="1" applyBorder="1"/>
    <xf numFmtId="164" fontId="6" fillId="0" borderId="12" xfId="1" applyNumberFormat="1" applyFont="1" applyFill="1" applyBorder="1"/>
    <xf numFmtId="164" fontId="6" fillId="0" borderId="9" xfId="1" applyNumberFormat="1" applyFont="1" applyFill="1" applyBorder="1"/>
    <xf numFmtId="164" fontId="6" fillId="0" borderId="16" xfId="0" applyNumberFormat="1" applyFont="1" applyFill="1" applyBorder="1"/>
    <xf numFmtId="164" fontId="5" fillId="0" borderId="10" xfId="0" applyNumberFormat="1" applyFont="1" applyFill="1" applyBorder="1"/>
    <xf numFmtId="44" fontId="0" fillId="0" borderId="0" xfId="0" applyNumberFormat="1"/>
    <xf numFmtId="164" fontId="0" fillId="0" borderId="0" xfId="0" applyNumberFormat="1"/>
    <xf numFmtId="44" fontId="0" fillId="0" borderId="0" xfId="0" applyNumberFormat="1" applyFill="1"/>
    <xf numFmtId="0" fontId="1" fillId="0" borderId="0" xfId="0" applyFont="1"/>
    <xf numFmtId="164" fontId="0" fillId="0" borderId="0" xfId="0" applyNumberFormat="1" applyFill="1"/>
    <xf numFmtId="0" fontId="0" fillId="0" borderId="0" xfId="0" applyBorder="1"/>
    <xf numFmtId="44" fontId="0" fillId="0" borderId="0" xfId="1" applyFont="1" applyFill="1"/>
    <xf numFmtId="164" fontId="6" fillId="0" borderId="18" xfId="0" applyNumberFormat="1" applyFont="1" applyFill="1" applyBorder="1"/>
    <xf numFmtId="164" fontId="6" fillId="0" borderId="17" xfId="0" applyNumberFormat="1" applyFont="1" applyFill="1" applyBorder="1"/>
    <xf numFmtId="0" fontId="6" fillId="0" borderId="19" xfId="0" applyFont="1" applyFill="1" applyBorder="1"/>
    <xf numFmtId="164" fontId="8" fillId="0" borderId="13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6" fillId="0" borderId="19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164" fontId="6" fillId="0" borderId="18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vertical="center"/>
    </xf>
    <xf numFmtId="0" fontId="0" fillId="0" borderId="18" xfId="0" applyFill="1" applyBorder="1"/>
    <xf numFmtId="44" fontId="0" fillId="0" borderId="18" xfId="1" applyFont="1" applyFill="1" applyBorder="1"/>
    <xf numFmtId="44" fontId="6" fillId="0" borderId="18" xfId="1" applyFont="1" applyBorder="1" applyAlignment="1">
      <alignment horizontal="center" vertical="center"/>
    </xf>
    <xf numFmtId="0" fontId="16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164" fontId="6" fillId="0" borderId="20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44" fontId="0" fillId="0" borderId="23" xfId="1" applyFont="1" applyFill="1" applyBorder="1" applyAlignment="1">
      <alignment horizontal="center"/>
    </xf>
    <xf numFmtId="0" fontId="2" fillId="0" borderId="0" xfId="0" applyFont="1" applyBorder="1" applyAlignment="1">
      <alignment horizontal="justify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44" fontId="6" fillId="0" borderId="0" xfId="1" applyFont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44" fontId="0" fillId="0" borderId="0" xfId="1" applyFont="1" applyFill="1" applyBorder="1"/>
    <xf numFmtId="0" fontId="6" fillId="0" borderId="0" xfId="0" applyFont="1" applyBorder="1" applyAlignment="1">
      <alignment horizontal="justify" vertical="center" wrapText="1"/>
    </xf>
    <xf numFmtId="0" fontId="2" fillId="0" borderId="18" xfId="0" applyFont="1" applyFill="1" applyBorder="1" applyAlignment="1">
      <alignment horizontal="justify" vertical="center" wrapText="1"/>
    </xf>
    <xf numFmtId="44" fontId="0" fillId="0" borderId="18" xfId="1" applyFont="1" applyBorder="1"/>
    <xf numFmtId="0" fontId="17" fillId="0" borderId="0" xfId="0" applyFont="1"/>
    <xf numFmtId="0" fontId="16" fillId="0" borderId="11" xfId="0" applyFont="1" applyBorder="1" applyAlignment="1">
      <alignment horizontal="justify" vertical="center" wrapText="1"/>
    </xf>
    <xf numFmtId="164" fontId="6" fillId="0" borderId="21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justify" vertical="center" wrapText="1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/>
    <xf numFmtId="164" fontId="6" fillId="0" borderId="10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18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164" fontId="8" fillId="0" borderId="20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6" fillId="0" borderId="13" xfId="0" applyFont="1" applyBorder="1" applyAlignment="1">
      <alignment horizontal="justify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4" fontId="6" fillId="0" borderId="20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44" fontId="6" fillId="0" borderId="18" xfId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44" fontId="0" fillId="0" borderId="22" xfId="1" applyFont="1" applyFill="1" applyBorder="1" applyAlignment="1">
      <alignment horizontal="center"/>
    </xf>
    <xf numFmtId="44" fontId="0" fillId="0" borderId="23" xfId="1" applyFont="1" applyFill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44" fontId="6" fillId="0" borderId="18" xfId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/>
    </xf>
    <xf numFmtId="164" fontId="8" fillId="0" borderId="21" xfId="0" applyNumberFormat="1" applyFont="1" applyFill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44" fontId="8" fillId="0" borderId="13" xfId="1" applyFont="1" applyBorder="1" applyAlignment="1">
      <alignment horizontal="center"/>
    </xf>
    <xf numFmtId="44" fontId="8" fillId="0" borderId="10" xfId="1" applyFont="1" applyBorder="1" applyAlignment="1">
      <alignment horizontal="center"/>
    </xf>
    <xf numFmtId="44" fontId="6" fillId="0" borderId="13" xfId="1" applyFont="1" applyBorder="1" applyAlignment="1">
      <alignment horizontal="center" vertical="center"/>
    </xf>
    <xf numFmtId="44" fontId="6" fillId="0" borderId="3" xfId="1" applyFont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164" fontId="8" fillId="0" borderId="12" xfId="0" applyNumberFormat="1" applyFont="1" applyFill="1" applyBorder="1" applyAlignment="1">
      <alignment horizontal="center"/>
    </xf>
    <xf numFmtId="0" fontId="8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164" fontId="8" fillId="0" borderId="18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tabSelected="1" workbookViewId="0"/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4" width="23.85546875" customWidth="1"/>
    <col min="5" max="5" width="23.85546875" style="38" customWidth="1"/>
    <col min="6" max="6" width="23" style="38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53</v>
      </c>
      <c r="B5" s="32"/>
      <c r="C5" s="32"/>
      <c r="D5" s="32"/>
      <c r="E5" s="39"/>
    </row>
    <row r="6" spans="1:6" ht="21.75" customHeight="1" x14ac:dyDescent="0.35">
      <c r="A6" s="112" t="s">
        <v>51</v>
      </c>
      <c r="B6" s="112"/>
      <c r="C6" s="112"/>
      <c r="D6" s="112"/>
      <c r="E6" s="112"/>
    </row>
    <row r="7" spans="1:6" ht="32.25" customHeight="1" x14ac:dyDescent="0.4">
      <c r="B7" s="113"/>
      <c r="C7" s="113"/>
      <c r="D7" s="35"/>
      <c r="E7" s="112" t="s">
        <v>49</v>
      </c>
      <c r="F7" s="112"/>
    </row>
    <row r="8" spans="1:6" ht="18" customHeight="1" x14ac:dyDescent="0.25">
      <c r="B8" s="33" t="s">
        <v>0</v>
      </c>
      <c r="C8" s="31"/>
      <c r="D8" s="31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114" t="s">
        <v>52</v>
      </c>
      <c r="C11" s="117" t="s">
        <v>48</v>
      </c>
      <c r="D11" s="117" t="s">
        <v>46</v>
      </c>
      <c r="E11" s="124" t="s">
        <v>44</v>
      </c>
      <c r="F11" s="124" t="s">
        <v>47</v>
      </c>
    </row>
    <row r="12" spans="1:6" ht="18" customHeight="1" x14ac:dyDescent="0.2">
      <c r="B12" s="115"/>
      <c r="C12" s="118"/>
      <c r="D12" s="118"/>
      <c r="E12" s="125"/>
      <c r="F12" s="125"/>
    </row>
    <row r="13" spans="1:6" ht="6" customHeight="1" thickBot="1" x14ac:dyDescent="0.25">
      <c r="B13" s="116"/>
      <c r="C13" s="119"/>
      <c r="D13" s="119"/>
      <c r="E13" s="126"/>
      <c r="F13" s="126"/>
    </row>
    <row r="14" spans="1:6" ht="18" customHeight="1" x14ac:dyDescent="0.2">
      <c r="B14" s="122" t="s">
        <v>4</v>
      </c>
      <c r="C14" s="120">
        <f>SUM(C16:C21)</f>
        <v>1158317</v>
      </c>
      <c r="D14" s="120">
        <f>SUM(D16:D21)</f>
        <v>-68800.7</v>
      </c>
      <c r="E14" s="127">
        <f>SUM(E16:E21)</f>
        <v>1089516.3</v>
      </c>
      <c r="F14" s="127">
        <f>SUM(F16:F21)</f>
        <v>1089516.29</v>
      </c>
    </row>
    <row r="15" spans="1:6" ht="18" customHeight="1" thickBot="1" x14ac:dyDescent="0.25">
      <c r="B15" s="123"/>
      <c r="C15" s="121"/>
      <c r="D15" s="121"/>
      <c r="E15" s="128"/>
      <c r="F15" s="128"/>
    </row>
    <row r="16" spans="1:6" ht="18" customHeight="1" x14ac:dyDescent="0.25">
      <c r="B16" s="14" t="s">
        <v>31</v>
      </c>
      <c r="C16" s="27">
        <v>1018077</v>
      </c>
      <c r="D16" s="27">
        <v>-57278.32</v>
      </c>
      <c r="E16" s="40">
        <f t="shared" ref="E16:E21" si="0">C16+D16</f>
        <v>960798.68</v>
      </c>
      <c r="F16" s="40">
        <v>960798.68</v>
      </c>
    </row>
    <row r="17" spans="2:6" ht="18" customHeight="1" x14ac:dyDescent="0.25">
      <c r="B17" s="7" t="s">
        <v>32</v>
      </c>
      <c r="C17" s="27"/>
      <c r="D17" s="27"/>
      <c r="E17" s="40">
        <f t="shared" si="0"/>
        <v>0</v>
      </c>
      <c r="F17" s="40"/>
    </row>
    <row r="18" spans="2:6" ht="18" customHeight="1" x14ac:dyDescent="0.25">
      <c r="B18" s="7" t="s">
        <v>40</v>
      </c>
      <c r="C18" s="27"/>
      <c r="D18" s="27"/>
      <c r="E18" s="40">
        <f t="shared" si="0"/>
        <v>0</v>
      </c>
      <c r="F18" s="40"/>
    </row>
    <row r="19" spans="2:6" ht="18" customHeight="1" x14ac:dyDescent="0.25">
      <c r="B19" s="7" t="s">
        <v>33</v>
      </c>
      <c r="C19" s="27">
        <v>100335</v>
      </c>
      <c r="D19" s="27">
        <v>-14397.85</v>
      </c>
      <c r="E19" s="40">
        <f t="shared" si="0"/>
        <v>85937.15</v>
      </c>
      <c r="F19" s="40">
        <v>85937.14</v>
      </c>
    </row>
    <row r="20" spans="2:6" ht="18" customHeight="1" x14ac:dyDescent="0.25">
      <c r="B20" s="8" t="s">
        <v>34</v>
      </c>
      <c r="C20" s="27">
        <v>39905</v>
      </c>
      <c r="D20" s="27">
        <v>2875.47</v>
      </c>
      <c r="E20" s="40">
        <f t="shared" si="0"/>
        <v>42780.47</v>
      </c>
      <c r="F20" s="40">
        <v>42780.47</v>
      </c>
    </row>
    <row r="21" spans="2:6" ht="18" customHeight="1" thickBot="1" x14ac:dyDescent="0.3">
      <c r="B21" s="23" t="s">
        <v>35</v>
      </c>
      <c r="C21" s="28"/>
      <c r="D21" s="27"/>
      <c r="E21" s="40">
        <f t="shared" si="0"/>
        <v>0</v>
      </c>
      <c r="F21" s="51">
        <v>0</v>
      </c>
    </row>
    <row r="22" spans="2:6" ht="18" customHeight="1" x14ac:dyDescent="0.2">
      <c r="B22" s="122" t="s">
        <v>29</v>
      </c>
      <c r="C22" s="120">
        <f>C24+C29+C31+C37+C40+C43</f>
        <v>186110</v>
      </c>
      <c r="D22" s="120">
        <f t="shared" ref="D22:F22" si="1">D24+D29+D31+D37+D40+D43</f>
        <v>-100536.08</v>
      </c>
      <c r="E22" s="127">
        <f t="shared" si="1"/>
        <v>85573.919999999984</v>
      </c>
      <c r="F22" s="127">
        <f t="shared" si="1"/>
        <v>85573.919999999984</v>
      </c>
    </row>
    <row r="23" spans="2:6" ht="18" customHeight="1" thickBot="1" x14ac:dyDescent="0.25">
      <c r="B23" s="123"/>
      <c r="C23" s="121"/>
      <c r="D23" s="121"/>
      <c r="E23" s="128"/>
      <c r="F23" s="128"/>
    </row>
    <row r="24" spans="2:6" ht="18" customHeight="1" x14ac:dyDescent="0.25">
      <c r="B24" s="6" t="s">
        <v>11</v>
      </c>
      <c r="C24" s="19">
        <f>SUM(C25:C28)</f>
        <v>153137</v>
      </c>
      <c r="D24" s="19">
        <f>SUM(D25:D28)</f>
        <v>-79615.539999999994</v>
      </c>
      <c r="E24" s="41">
        <f>SUM(E25:E28)</f>
        <v>73521.459999999992</v>
      </c>
      <c r="F24" s="41">
        <f>SUM(F25:F28)</f>
        <v>73521.459999999992</v>
      </c>
    </row>
    <row r="25" spans="2:6" ht="18" customHeight="1" x14ac:dyDescent="0.25">
      <c r="B25" s="7" t="s">
        <v>5</v>
      </c>
      <c r="C25" s="20">
        <v>72135</v>
      </c>
      <c r="D25" s="20">
        <v>-26188.69</v>
      </c>
      <c r="E25" s="42">
        <f>C25+D25</f>
        <v>45946.31</v>
      </c>
      <c r="F25" s="42">
        <v>45946.31</v>
      </c>
    </row>
    <row r="26" spans="2:6" ht="18" customHeight="1" x14ac:dyDescent="0.25">
      <c r="B26" s="7" t="s">
        <v>6</v>
      </c>
      <c r="C26" s="20">
        <v>69480</v>
      </c>
      <c r="D26" s="20">
        <v>-41904.85</v>
      </c>
      <c r="E26" s="42">
        <f>C26+D26</f>
        <v>27575.15</v>
      </c>
      <c r="F26" s="42">
        <v>27575.15</v>
      </c>
    </row>
    <row r="27" spans="2:6" ht="18" customHeight="1" x14ac:dyDescent="0.25">
      <c r="B27" s="7" t="s">
        <v>7</v>
      </c>
      <c r="C27" s="20">
        <v>11180</v>
      </c>
      <c r="D27" s="20">
        <v>-11180</v>
      </c>
      <c r="E27" s="42">
        <f>C27+D27</f>
        <v>0</v>
      </c>
      <c r="F27" s="42"/>
    </row>
    <row r="28" spans="2:6" ht="18" customHeight="1" x14ac:dyDescent="0.25">
      <c r="B28" s="8" t="s">
        <v>8</v>
      </c>
      <c r="C28" s="20">
        <v>342</v>
      </c>
      <c r="D28" s="20">
        <v>-342</v>
      </c>
      <c r="E28" s="42">
        <f>C28+D28</f>
        <v>0</v>
      </c>
      <c r="F28" s="42"/>
    </row>
    <row r="29" spans="2:6" ht="18" customHeight="1" x14ac:dyDescent="0.25">
      <c r="B29" s="9" t="s">
        <v>12</v>
      </c>
      <c r="C29" s="5">
        <f>SUM(C30)</f>
        <v>0</v>
      </c>
      <c r="D29" s="5">
        <f>SUM(D30)</f>
        <v>0</v>
      </c>
      <c r="E29" s="43">
        <f>SUM(E30)</f>
        <v>0</v>
      </c>
      <c r="F29" s="43"/>
    </row>
    <row r="30" spans="2:6" ht="18" customHeight="1" x14ac:dyDescent="0.25">
      <c r="B30" s="10" t="s">
        <v>16</v>
      </c>
      <c r="C30" s="20"/>
      <c r="D30" s="20"/>
      <c r="E30" s="42">
        <f>C30+D30</f>
        <v>0</v>
      </c>
      <c r="F30" s="42"/>
    </row>
    <row r="31" spans="2:6" ht="18" customHeight="1" x14ac:dyDescent="0.25">
      <c r="B31" s="11" t="s">
        <v>21</v>
      </c>
      <c r="C31" s="21">
        <f>SUM(C32:C36)</f>
        <v>5400</v>
      </c>
      <c r="D31" s="21">
        <f>SUM(D32:D36)</f>
        <v>-4257.38</v>
      </c>
      <c r="E31" s="44">
        <f>SUM(E32:E36)</f>
        <v>1142.6200000000001</v>
      </c>
      <c r="F31" s="44">
        <f>SUM(F32:F36)</f>
        <v>1142.6199999999999</v>
      </c>
    </row>
    <row r="32" spans="2:6" ht="18" customHeight="1" x14ac:dyDescent="0.25">
      <c r="B32" s="8" t="s">
        <v>20</v>
      </c>
      <c r="C32" s="20">
        <v>5400</v>
      </c>
      <c r="D32" s="20">
        <v>-5342.83</v>
      </c>
      <c r="E32" s="42">
        <f>C32+D32</f>
        <v>57.170000000000073</v>
      </c>
      <c r="F32" s="42">
        <v>57.17</v>
      </c>
    </row>
    <row r="33" spans="2:6" ht="18" customHeight="1" x14ac:dyDescent="0.25">
      <c r="B33" s="8" t="s">
        <v>30</v>
      </c>
      <c r="C33" s="20"/>
      <c r="D33" s="20">
        <v>56.25</v>
      </c>
      <c r="E33" s="42">
        <f>C33+D33</f>
        <v>56.25</v>
      </c>
      <c r="F33" s="42">
        <v>56.25</v>
      </c>
    </row>
    <row r="34" spans="2:6" ht="18" customHeight="1" x14ac:dyDescent="0.25">
      <c r="B34" s="8" t="s">
        <v>19</v>
      </c>
      <c r="C34" s="20"/>
      <c r="D34" s="20"/>
      <c r="E34" s="42">
        <f t="shared" ref="E34:E36" si="2">C34+D34</f>
        <v>0</v>
      </c>
      <c r="F34" s="42"/>
    </row>
    <row r="35" spans="2:6" ht="18" customHeight="1" x14ac:dyDescent="0.25">
      <c r="B35" s="8" t="s">
        <v>17</v>
      </c>
      <c r="C35" s="20"/>
      <c r="D35" s="20">
        <v>114.8</v>
      </c>
      <c r="E35" s="42">
        <f t="shared" si="2"/>
        <v>114.8</v>
      </c>
      <c r="F35" s="42">
        <v>114.8</v>
      </c>
    </row>
    <row r="36" spans="2:6" ht="18" customHeight="1" x14ac:dyDescent="0.25">
      <c r="B36" s="8" t="s">
        <v>18</v>
      </c>
      <c r="C36" s="20"/>
      <c r="D36" s="20">
        <v>914.4</v>
      </c>
      <c r="E36" s="42">
        <f t="shared" si="2"/>
        <v>914.4</v>
      </c>
      <c r="F36" s="42">
        <v>914.4</v>
      </c>
    </row>
    <row r="37" spans="2:6" ht="18" customHeight="1" x14ac:dyDescent="0.25">
      <c r="B37" s="11" t="s">
        <v>26</v>
      </c>
      <c r="C37" s="21">
        <f>SUM(C38:C39)</f>
        <v>4745</v>
      </c>
      <c r="D37" s="21">
        <f>SUM(D38:D39)</f>
        <v>-3293.6400000000003</v>
      </c>
      <c r="E37" s="44">
        <f>SUM(E38:E39)</f>
        <v>1451.3599999999997</v>
      </c>
      <c r="F37" s="44">
        <f>SUM(F38:F39)</f>
        <v>1451.3600000000001</v>
      </c>
    </row>
    <row r="38" spans="2:6" ht="18" customHeight="1" x14ac:dyDescent="0.25">
      <c r="B38" s="8" t="s">
        <v>27</v>
      </c>
      <c r="C38" s="20">
        <v>4745</v>
      </c>
      <c r="D38" s="20">
        <v>-4295.6400000000003</v>
      </c>
      <c r="E38" s="42">
        <f>C38+D38</f>
        <v>449.35999999999967</v>
      </c>
      <c r="F38" s="42">
        <v>449.36</v>
      </c>
    </row>
    <row r="39" spans="2:6" ht="18" customHeight="1" x14ac:dyDescent="0.25">
      <c r="B39" s="8" t="s">
        <v>28</v>
      </c>
      <c r="C39" s="20">
        <v>0</v>
      </c>
      <c r="D39" s="20">
        <v>1002</v>
      </c>
      <c r="E39" s="42">
        <f>C39+D39</f>
        <v>1002</v>
      </c>
      <c r="F39" s="42">
        <v>1002</v>
      </c>
    </row>
    <row r="40" spans="2:6" ht="18" customHeight="1" x14ac:dyDescent="0.25">
      <c r="B40" s="11" t="s">
        <v>13</v>
      </c>
      <c r="C40" s="21">
        <f>SUM(C41:C42)</f>
        <v>14550</v>
      </c>
      <c r="D40" s="21">
        <f>SUM(D41:D42)</f>
        <v>-14550</v>
      </c>
      <c r="E40" s="44">
        <f>SUM(E41:E42)</f>
        <v>0</v>
      </c>
      <c r="F40" s="44"/>
    </row>
    <row r="41" spans="2:6" ht="18" customHeight="1" x14ac:dyDescent="0.25">
      <c r="B41" s="8" t="s">
        <v>9</v>
      </c>
      <c r="C41" s="20"/>
      <c r="D41" s="20"/>
      <c r="E41" s="42">
        <f>C41+D41</f>
        <v>0</v>
      </c>
      <c r="F41" s="42"/>
    </row>
    <row r="42" spans="2:6" ht="18" customHeight="1" x14ac:dyDescent="0.25">
      <c r="B42" s="8" t="s">
        <v>10</v>
      </c>
      <c r="C42" s="20">
        <v>14550</v>
      </c>
      <c r="D42" s="20">
        <v>-14550</v>
      </c>
      <c r="E42" s="42">
        <f>C42+D42</f>
        <v>0</v>
      </c>
      <c r="F42" s="42"/>
    </row>
    <row r="43" spans="2:6" ht="18" customHeight="1" thickBot="1" x14ac:dyDescent="0.3">
      <c r="B43" s="15" t="s">
        <v>14</v>
      </c>
      <c r="C43" s="22">
        <f>2560+498+5220</f>
        <v>8278</v>
      </c>
      <c r="D43" s="22">
        <f>-(556.4+498+1482.7)+(76+36+228.62+472.2+1317.56+100.4+186.78+130.52+528.5+534.9+106.1)</f>
        <v>1180.48</v>
      </c>
      <c r="E43" s="45">
        <f>C43+D43</f>
        <v>9458.48</v>
      </c>
      <c r="F43" s="52">
        <f>76+36+228.62+472.2+1317.56+100.4+2003.6+186.78+130.52+528.5+534.9+106.1+3737.3</f>
        <v>9458.48</v>
      </c>
    </row>
    <row r="44" spans="2:6" ht="30.75" customHeight="1" thickBot="1" x14ac:dyDescent="0.35">
      <c r="B44" s="12" t="s">
        <v>22</v>
      </c>
      <c r="C44" s="26">
        <f>SUM(C45:C47)</f>
        <v>16970</v>
      </c>
      <c r="D44" s="26">
        <f>SUM(D45:D47)</f>
        <v>-5674.9</v>
      </c>
      <c r="E44" s="46">
        <f>SUM(E45:E47)</f>
        <v>11295.1</v>
      </c>
      <c r="F44" s="46">
        <f>SUM(F45:F47)</f>
        <v>11295.1</v>
      </c>
    </row>
    <row r="45" spans="2:6" ht="18" customHeight="1" x14ac:dyDescent="0.25">
      <c r="B45" s="16" t="s">
        <v>15</v>
      </c>
      <c r="C45" s="29">
        <v>16970</v>
      </c>
      <c r="D45" s="29">
        <v>-5674.9</v>
      </c>
      <c r="E45" s="47">
        <f>C45+D45</f>
        <v>11295.1</v>
      </c>
      <c r="F45" s="47">
        <v>11295.1</v>
      </c>
    </row>
    <row r="46" spans="2:6" ht="18" customHeight="1" x14ac:dyDescent="0.25">
      <c r="B46" s="16" t="s">
        <v>37</v>
      </c>
      <c r="C46" s="4"/>
      <c r="D46" s="4"/>
      <c r="E46" s="48"/>
      <c r="F46" s="48"/>
    </row>
    <row r="47" spans="2:6" ht="18" customHeight="1" thickBot="1" x14ac:dyDescent="0.3">
      <c r="B47" s="17" t="s">
        <v>23</v>
      </c>
      <c r="C47" s="30"/>
      <c r="D47" s="30"/>
      <c r="E47" s="49">
        <f>C47+D47</f>
        <v>0</v>
      </c>
      <c r="F47" s="49"/>
    </row>
    <row r="48" spans="2:6" ht="30.75" customHeight="1" thickBot="1" x14ac:dyDescent="0.35">
      <c r="B48" s="12" t="s">
        <v>24</v>
      </c>
      <c r="C48" s="26">
        <f>SUM(C49)</f>
        <v>0</v>
      </c>
      <c r="D48" s="26">
        <f>SUM(D49)</f>
        <v>0</v>
      </c>
      <c r="E48" s="46">
        <f>SUM(E49)</f>
        <v>0</v>
      </c>
      <c r="F48" s="46">
        <f>SUM(F49)</f>
        <v>0</v>
      </c>
    </row>
    <row r="49" spans="2:6" ht="21.75" customHeight="1" thickBot="1" x14ac:dyDescent="0.3">
      <c r="B49" s="18" t="s">
        <v>25</v>
      </c>
      <c r="C49" s="30"/>
      <c r="D49" s="30"/>
      <c r="E49" s="49">
        <f>C49+D49</f>
        <v>0</v>
      </c>
      <c r="F49" s="49"/>
    </row>
    <row r="50" spans="2:6" ht="30.75" customHeight="1" thickBot="1" x14ac:dyDescent="0.35">
      <c r="B50" s="12" t="s">
        <v>38</v>
      </c>
      <c r="C50" s="26">
        <f>SUM(C51:C54)</f>
        <v>0</v>
      </c>
      <c r="D50" s="26"/>
      <c r="E50" s="46">
        <f>SUM(E51:E54)</f>
        <v>0</v>
      </c>
      <c r="F50" s="46"/>
    </row>
    <row r="51" spans="2:6" ht="21.75" customHeight="1" x14ac:dyDescent="0.25">
      <c r="B51" s="16" t="s">
        <v>42</v>
      </c>
      <c r="C51" s="24"/>
      <c r="D51" s="24"/>
      <c r="E51" s="50"/>
      <c r="F51" s="50"/>
    </row>
    <row r="52" spans="2:6" ht="21.75" customHeight="1" x14ac:dyDescent="0.25">
      <c r="B52" s="25" t="s">
        <v>45</v>
      </c>
      <c r="C52" s="29"/>
      <c r="D52" s="29"/>
      <c r="E52" s="47"/>
      <c r="F52" s="47"/>
    </row>
    <row r="53" spans="2:6" ht="21.75" customHeight="1" x14ac:dyDescent="0.25">
      <c r="B53" s="25" t="s">
        <v>43</v>
      </c>
      <c r="C53" s="4"/>
      <c r="D53" s="4"/>
      <c r="E53" s="48"/>
      <c r="F53" s="48"/>
    </row>
    <row r="54" spans="2:6" ht="21.75" customHeight="1" thickBot="1" x14ac:dyDescent="0.3">
      <c r="B54" s="16" t="s">
        <v>39</v>
      </c>
      <c r="C54" s="30"/>
      <c r="D54" s="30"/>
      <c r="E54" s="49"/>
      <c r="F54" s="49"/>
    </row>
    <row r="55" spans="2:6" ht="36" customHeight="1" thickBot="1" x14ac:dyDescent="0.35">
      <c r="B55" s="13" t="s">
        <v>3</v>
      </c>
      <c r="C55" s="3">
        <f>SUM(C14+C22+C44+C48+C50)</f>
        <v>1361397</v>
      </c>
      <c r="D55" s="3">
        <f>SUM(D14+D22+D44+D48+D50)</f>
        <v>-175011.68</v>
      </c>
      <c r="E55" s="3">
        <f>SUM(E14+E22+E44+E48+E50)</f>
        <v>1186385.32</v>
      </c>
      <c r="F55" s="3">
        <f>SUM(F14+F22+F44+F48+F50)</f>
        <v>1186385.31</v>
      </c>
    </row>
    <row r="57" spans="2:6" ht="18" customHeight="1" x14ac:dyDescent="0.2">
      <c r="B57" s="111" t="s">
        <v>81</v>
      </c>
    </row>
    <row r="67" spans="1:6" ht="18" customHeight="1" x14ac:dyDescent="0.2">
      <c r="A67" s="2" t="s">
        <v>36</v>
      </c>
      <c r="B67" s="2"/>
    </row>
    <row r="68" spans="1:6" ht="18" customHeight="1" x14ac:dyDescent="0.2">
      <c r="A68" s="2" t="s">
        <v>1</v>
      </c>
      <c r="B68" s="2"/>
    </row>
    <row r="69" spans="1:6" ht="18" customHeight="1" x14ac:dyDescent="0.2">
      <c r="A69" s="2" t="s">
        <v>2</v>
      </c>
      <c r="B69" s="2"/>
    </row>
    <row r="70" spans="1:6" ht="18" customHeight="1" x14ac:dyDescent="0.2">
      <c r="B70" s="2"/>
    </row>
    <row r="71" spans="1:6" ht="18" customHeight="1" x14ac:dyDescent="0.35">
      <c r="A71" s="32" t="s">
        <v>53</v>
      </c>
      <c r="B71" s="32"/>
      <c r="C71" s="32"/>
      <c r="D71" s="32"/>
      <c r="E71" s="39"/>
    </row>
    <row r="72" spans="1:6" ht="18" customHeight="1" x14ac:dyDescent="0.35">
      <c r="A72" s="112" t="s">
        <v>51</v>
      </c>
      <c r="B72" s="112"/>
      <c r="C72" s="112"/>
      <c r="D72" s="112"/>
      <c r="E72" s="112"/>
    </row>
    <row r="73" spans="1:6" ht="18" customHeight="1" x14ac:dyDescent="0.4">
      <c r="B73" s="113"/>
      <c r="C73" s="113"/>
      <c r="D73" s="36"/>
      <c r="E73" s="112" t="s">
        <v>50</v>
      </c>
      <c r="F73" s="112"/>
    </row>
    <row r="74" spans="1:6" ht="18" customHeight="1" x14ac:dyDescent="0.25">
      <c r="B74" s="33" t="s">
        <v>0</v>
      </c>
      <c r="C74" s="31"/>
      <c r="D74" s="31"/>
    </row>
    <row r="75" spans="1:6" ht="18" customHeight="1" x14ac:dyDescent="0.25">
      <c r="A75" s="31"/>
      <c r="B75" s="34" t="s">
        <v>41</v>
      </c>
      <c r="C75" s="31"/>
      <c r="D75" s="31"/>
    </row>
    <row r="76" spans="1:6" ht="18" customHeight="1" thickBot="1" x14ac:dyDescent="0.25">
      <c r="B76" s="1"/>
      <c r="C76" s="1"/>
      <c r="D76" s="1"/>
    </row>
    <row r="77" spans="1:6" ht="18" customHeight="1" x14ac:dyDescent="0.2">
      <c r="B77" s="114" t="s">
        <v>52</v>
      </c>
      <c r="C77" s="124" t="s">
        <v>48</v>
      </c>
      <c r="D77" s="124" t="s">
        <v>46</v>
      </c>
      <c r="E77" s="124" t="s">
        <v>44</v>
      </c>
      <c r="F77" s="124" t="s">
        <v>47</v>
      </c>
    </row>
    <row r="78" spans="1:6" ht="18" customHeight="1" x14ac:dyDescent="0.2">
      <c r="B78" s="115"/>
      <c r="C78" s="125"/>
      <c r="D78" s="125"/>
      <c r="E78" s="125"/>
      <c r="F78" s="125"/>
    </row>
    <row r="79" spans="1:6" ht="18" customHeight="1" thickBot="1" x14ac:dyDescent="0.25">
      <c r="B79" s="116"/>
      <c r="C79" s="126"/>
      <c r="D79" s="126"/>
      <c r="E79" s="126"/>
      <c r="F79" s="126"/>
    </row>
    <row r="80" spans="1:6" ht="18" customHeight="1" x14ac:dyDescent="0.2">
      <c r="B80" s="122" t="s">
        <v>4</v>
      </c>
      <c r="C80" s="127">
        <f>SUM(C82:C87)</f>
        <v>3474951</v>
      </c>
      <c r="D80" s="127">
        <f>SUM(D82:D87)</f>
        <v>-213187.44</v>
      </c>
      <c r="E80" s="127">
        <f>SUM(E82:E87)</f>
        <v>3261763.56</v>
      </c>
      <c r="F80" s="127">
        <f>SUM(F82:F87)</f>
        <v>3261762.82</v>
      </c>
    </row>
    <row r="81" spans="2:6" ht="18" customHeight="1" thickBot="1" x14ac:dyDescent="0.25">
      <c r="B81" s="123"/>
      <c r="C81" s="128"/>
      <c r="D81" s="128"/>
      <c r="E81" s="128"/>
      <c r="F81" s="128"/>
    </row>
    <row r="82" spans="2:6" ht="18" customHeight="1" x14ac:dyDescent="0.25">
      <c r="B82" s="14" t="s">
        <v>31</v>
      </c>
      <c r="C82" s="40">
        <v>3054231</v>
      </c>
      <c r="D82" s="40">
        <v>-177705.97</v>
      </c>
      <c r="E82" s="40">
        <f t="shared" ref="E82:E87" si="3">C82+D82</f>
        <v>2876525.03</v>
      </c>
      <c r="F82" s="40">
        <v>2876525.02</v>
      </c>
    </row>
    <row r="83" spans="2:6" ht="18" customHeight="1" x14ac:dyDescent="0.25">
      <c r="B83" s="7" t="s">
        <v>32</v>
      </c>
      <c r="C83" s="40"/>
      <c r="D83" s="40"/>
      <c r="E83" s="40">
        <f t="shared" si="3"/>
        <v>0</v>
      </c>
      <c r="F83" s="40"/>
    </row>
    <row r="84" spans="2:6" ht="18" customHeight="1" x14ac:dyDescent="0.25">
      <c r="B84" s="7" t="s">
        <v>40</v>
      </c>
      <c r="C84" s="40"/>
      <c r="D84" s="40"/>
      <c r="E84" s="40">
        <f t="shared" si="3"/>
        <v>0</v>
      </c>
      <c r="F84" s="40"/>
    </row>
    <row r="85" spans="2:6" ht="18" customHeight="1" x14ac:dyDescent="0.25">
      <c r="B85" s="7" t="s">
        <v>33</v>
      </c>
      <c r="C85" s="40">
        <v>301005</v>
      </c>
      <c r="D85" s="40">
        <v>-43951.03</v>
      </c>
      <c r="E85" s="40">
        <f t="shared" si="3"/>
        <v>257053.97</v>
      </c>
      <c r="F85" s="40">
        <v>257053.96</v>
      </c>
    </row>
    <row r="86" spans="2:6" ht="18" customHeight="1" x14ac:dyDescent="0.25">
      <c r="B86" s="8" t="s">
        <v>34</v>
      </c>
      <c r="C86" s="40">
        <v>119715</v>
      </c>
      <c r="D86" s="40">
        <v>8469.56</v>
      </c>
      <c r="E86" s="40">
        <f t="shared" si="3"/>
        <v>128184.56</v>
      </c>
      <c r="F86" s="40">
        <v>128183.84</v>
      </c>
    </row>
    <row r="87" spans="2:6" ht="18" customHeight="1" thickBot="1" x14ac:dyDescent="0.3">
      <c r="B87" s="23" t="s">
        <v>35</v>
      </c>
      <c r="C87" s="51"/>
      <c r="D87" s="40"/>
      <c r="E87" s="40">
        <f t="shared" si="3"/>
        <v>0</v>
      </c>
      <c r="F87" s="51">
        <v>0</v>
      </c>
    </row>
    <row r="88" spans="2:6" ht="18" customHeight="1" x14ac:dyDescent="0.2">
      <c r="B88" s="122" t="s">
        <v>29</v>
      </c>
      <c r="C88" s="127">
        <f>C90+C95+C97+C103+C106+C109</f>
        <v>3696065</v>
      </c>
      <c r="D88" s="127">
        <f t="shared" ref="D88:E88" si="4">D90+D95+D97+D103+D106+D109</f>
        <v>-6523.2199999999903</v>
      </c>
      <c r="E88" s="127">
        <f t="shared" si="4"/>
        <v>3689541.78</v>
      </c>
      <c r="F88" s="127">
        <f t="shared" ref="F88" si="5">F90+F95+F97+F103+F106+F109</f>
        <v>3689541.78</v>
      </c>
    </row>
    <row r="89" spans="2:6" ht="18" customHeight="1" thickBot="1" x14ac:dyDescent="0.25">
      <c r="B89" s="123"/>
      <c r="C89" s="128"/>
      <c r="D89" s="128"/>
      <c r="E89" s="128"/>
      <c r="F89" s="128"/>
    </row>
    <row r="90" spans="2:6" ht="18" customHeight="1" x14ac:dyDescent="0.25">
      <c r="B90" s="6" t="s">
        <v>11</v>
      </c>
      <c r="C90" s="41">
        <f>SUM(C91:C94)</f>
        <v>459411</v>
      </c>
      <c r="D90" s="41">
        <f>SUM(D91:D94)</f>
        <v>-5318.0199999999995</v>
      </c>
      <c r="E90" s="41">
        <f>SUM(E91:E94)</f>
        <v>454092.98</v>
      </c>
      <c r="F90" s="41">
        <f>SUM(F91:F94)</f>
        <v>454092.98</v>
      </c>
    </row>
    <row r="91" spans="2:6" ht="18" customHeight="1" x14ac:dyDescent="0.25">
      <c r="B91" s="7" t="s">
        <v>5</v>
      </c>
      <c r="C91" s="42">
        <v>216405</v>
      </c>
      <c r="D91" s="42">
        <v>-18968.93</v>
      </c>
      <c r="E91" s="42">
        <f>C91+D91</f>
        <v>197436.07</v>
      </c>
      <c r="F91" s="42">
        <v>197436.07</v>
      </c>
    </row>
    <row r="92" spans="2:6" ht="18" customHeight="1" x14ac:dyDescent="0.25">
      <c r="B92" s="7" t="s">
        <v>6</v>
      </c>
      <c r="C92" s="42">
        <v>208440</v>
      </c>
      <c r="D92" s="42">
        <v>24272.54</v>
      </c>
      <c r="E92" s="42">
        <f>C92+D92</f>
        <v>232712.54</v>
      </c>
      <c r="F92" s="42">
        <v>232712.54</v>
      </c>
    </row>
    <row r="93" spans="2:6" ht="18" customHeight="1" x14ac:dyDescent="0.25">
      <c r="B93" s="7" t="s">
        <v>7</v>
      </c>
      <c r="C93" s="42">
        <v>33540</v>
      </c>
      <c r="D93" s="42">
        <v>-9996.43</v>
      </c>
      <c r="E93" s="42">
        <f>C93+D93</f>
        <v>23543.57</v>
      </c>
      <c r="F93" s="42">
        <v>23543.57</v>
      </c>
    </row>
    <row r="94" spans="2:6" ht="18" customHeight="1" x14ac:dyDescent="0.25">
      <c r="B94" s="8" t="s">
        <v>8</v>
      </c>
      <c r="C94" s="42">
        <v>1026</v>
      </c>
      <c r="D94" s="42">
        <v>-625.20000000000005</v>
      </c>
      <c r="E94" s="42">
        <f>C94+D94</f>
        <v>400.79999999999995</v>
      </c>
      <c r="F94" s="42">
        <v>400.8</v>
      </c>
    </row>
    <row r="95" spans="2:6" ht="18" customHeight="1" x14ac:dyDescent="0.25">
      <c r="B95" s="9" t="s">
        <v>12</v>
      </c>
      <c r="C95" s="43">
        <f>SUM(C96)</f>
        <v>3048495</v>
      </c>
      <c r="D95" s="43">
        <f>SUM(D96)</f>
        <v>270</v>
      </c>
      <c r="E95" s="43">
        <f>SUM(E96)</f>
        <v>3048765</v>
      </c>
      <c r="F95" s="43">
        <v>3048765</v>
      </c>
    </row>
    <row r="96" spans="2:6" ht="18" customHeight="1" x14ac:dyDescent="0.25">
      <c r="B96" s="10" t="s">
        <v>16</v>
      </c>
      <c r="C96" s="42">
        <v>3048495</v>
      </c>
      <c r="D96" s="42">
        <v>270</v>
      </c>
      <c r="E96" s="42">
        <f>C96+D96</f>
        <v>3048765</v>
      </c>
      <c r="F96" s="42">
        <v>3048765</v>
      </c>
    </row>
    <row r="97" spans="2:6" ht="18" customHeight="1" x14ac:dyDescent="0.25">
      <c r="B97" s="11" t="s">
        <v>21</v>
      </c>
      <c r="C97" s="44">
        <f>SUM(C98:C102)</f>
        <v>16200</v>
      </c>
      <c r="D97" s="44">
        <f>SUM(D98:D102)</f>
        <v>9238.1700000000019</v>
      </c>
      <c r="E97" s="44">
        <f>SUM(E98:E102)</f>
        <v>25438.170000000002</v>
      </c>
      <c r="F97" s="44">
        <f>SUM(F98:F102)</f>
        <v>25438.170000000002</v>
      </c>
    </row>
    <row r="98" spans="2:6" ht="18" customHeight="1" x14ac:dyDescent="0.25">
      <c r="B98" s="8" t="s">
        <v>20</v>
      </c>
      <c r="C98" s="42">
        <v>16200</v>
      </c>
      <c r="D98" s="42">
        <v>-11335.13</v>
      </c>
      <c r="E98" s="42">
        <f>C98+D98</f>
        <v>4864.8700000000008</v>
      </c>
      <c r="F98" s="42">
        <v>4864.87</v>
      </c>
    </row>
    <row r="99" spans="2:6" ht="18" customHeight="1" x14ac:dyDescent="0.25">
      <c r="B99" s="8" t="s">
        <v>30</v>
      </c>
      <c r="C99" s="42"/>
      <c r="D99" s="42">
        <v>12232.03</v>
      </c>
      <c r="E99" s="42">
        <f>C99+D99</f>
        <v>12232.03</v>
      </c>
      <c r="F99" s="42">
        <v>12232.03</v>
      </c>
    </row>
    <row r="100" spans="2:6" ht="18" customHeight="1" x14ac:dyDescent="0.25">
      <c r="B100" s="8" t="s">
        <v>19</v>
      </c>
      <c r="C100" s="42"/>
      <c r="D100" s="42"/>
      <c r="E100" s="42">
        <f t="shared" ref="E100:E102" si="6">C100+D100</f>
        <v>0</v>
      </c>
      <c r="F100" s="42"/>
    </row>
    <row r="101" spans="2:6" ht="18" customHeight="1" x14ac:dyDescent="0.25">
      <c r="B101" s="8" t="s">
        <v>17</v>
      </c>
      <c r="C101" s="42"/>
      <c r="D101" s="42">
        <v>1079.4000000000001</v>
      </c>
      <c r="E101" s="42">
        <f t="shared" si="6"/>
        <v>1079.4000000000001</v>
      </c>
      <c r="F101" s="42">
        <v>1079.4000000000001</v>
      </c>
    </row>
    <row r="102" spans="2:6" ht="18" customHeight="1" x14ac:dyDescent="0.25">
      <c r="B102" s="8" t="s">
        <v>18</v>
      </c>
      <c r="C102" s="42"/>
      <c r="D102" s="42">
        <v>7261.87</v>
      </c>
      <c r="E102" s="42">
        <f t="shared" si="6"/>
        <v>7261.87</v>
      </c>
      <c r="F102" s="42">
        <v>7261.87</v>
      </c>
    </row>
    <row r="103" spans="2:6" ht="18" customHeight="1" x14ac:dyDescent="0.25">
      <c r="B103" s="11" t="s">
        <v>26</v>
      </c>
      <c r="C103" s="44">
        <f>SUM(C104:C105)</f>
        <v>32085</v>
      </c>
      <c r="D103" s="44">
        <f>SUM(D104:D105)</f>
        <v>-19653.419999999998</v>
      </c>
      <c r="E103" s="44">
        <f>SUM(E104:E105)</f>
        <v>12431.58</v>
      </c>
      <c r="F103" s="44">
        <f>SUM(F104:F105)</f>
        <v>12431.58</v>
      </c>
    </row>
    <row r="104" spans="2:6" ht="18" customHeight="1" x14ac:dyDescent="0.25">
      <c r="B104" s="8" t="s">
        <v>27</v>
      </c>
      <c r="C104" s="42">
        <v>12085</v>
      </c>
      <c r="D104" s="42">
        <v>-11372.35</v>
      </c>
      <c r="E104" s="42">
        <f>C104+D104</f>
        <v>712.64999999999964</v>
      </c>
      <c r="F104" s="42">
        <v>712.65</v>
      </c>
    </row>
    <row r="105" spans="2:6" ht="18" customHeight="1" x14ac:dyDescent="0.25">
      <c r="B105" s="8" t="s">
        <v>28</v>
      </c>
      <c r="C105" s="42">
        <v>20000</v>
      </c>
      <c r="D105" s="42">
        <v>-8281.07</v>
      </c>
      <c r="E105" s="42">
        <f>C105+D105</f>
        <v>11718.93</v>
      </c>
      <c r="F105" s="42">
        <v>11718.93</v>
      </c>
    </row>
    <row r="106" spans="2:6" ht="18" customHeight="1" x14ac:dyDescent="0.25">
      <c r="B106" s="11" t="s">
        <v>13</v>
      </c>
      <c r="C106" s="44">
        <f>SUM(C107:C108)</f>
        <v>62520</v>
      </c>
      <c r="D106" s="44">
        <f>SUM(D107:D108)</f>
        <v>-1020</v>
      </c>
      <c r="E106" s="44">
        <f>SUM(E107:E108)</f>
        <v>61500</v>
      </c>
      <c r="F106" s="44">
        <f>SUM(F107:F108)</f>
        <v>61500</v>
      </c>
    </row>
    <row r="107" spans="2:6" ht="18" customHeight="1" x14ac:dyDescent="0.25">
      <c r="B107" s="8" t="s">
        <v>9</v>
      </c>
      <c r="C107" s="42">
        <v>18870</v>
      </c>
      <c r="D107" s="42">
        <v>-1020</v>
      </c>
      <c r="E107" s="42">
        <f>C107+D107</f>
        <v>17850</v>
      </c>
      <c r="F107" s="42">
        <v>17850</v>
      </c>
    </row>
    <row r="108" spans="2:6" ht="18" customHeight="1" x14ac:dyDescent="0.25">
      <c r="B108" s="8" t="s">
        <v>10</v>
      </c>
      <c r="C108" s="42">
        <v>43650</v>
      </c>
      <c r="D108" s="42"/>
      <c r="E108" s="42">
        <f>C108+D108</f>
        <v>43650</v>
      </c>
      <c r="F108" s="42">
        <v>43650</v>
      </c>
    </row>
    <row r="109" spans="2:6" ht="18" customHeight="1" thickBot="1" x14ac:dyDescent="0.3">
      <c r="B109" s="15" t="s">
        <v>14</v>
      </c>
      <c r="C109" s="52">
        <f>2560+1734+17000+40000+400+15660</f>
        <v>77354</v>
      </c>
      <c r="D109" s="52">
        <f>-(1584+15870.07+5661.88+113.85+3040.6)+392.1+2276+2114.9+114.31+2788.56+4370.42+1087.7+448.5+728.17+4081.12+2145.09+11628.08+226.76+2954.8+873.94</f>
        <v>9960.0500000000065</v>
      </c>
      <c r="E109" s="42">
        <f>C109+D109</f>
        <v>87314.05</v>
      </c>
      <c r="F109" s="38">
        <f>873.94+2954.8+226.76+11628.08+2145.09+4081.12+728.17+2952.1+448.5+1087.7+4370.42+2788.56+114.31+150+1129.93+34338.12+286.15+2114.9+12619.4+2276</f>
        <v>87314.049999999974</v>
      </c>
    </row>
    <row r="110" spans="2:6" ht="18" customHeight="1" thickBot="1" x14ac:dyDescent="0.35">
      <c r="B110" s="12" t="s">
        <v>22</v>
      </c>
      <c r="C110" s="46">
        <f>SUM(C111:C113)</f>
        <v>67019</v>
      </c>
      <c r="D110" s="46">
        <f>SUM(D111:D113)</f>
        <v>0</v>
      </c>
      <c r="E110" s="46">
        <f>SUM(E111:E113)</f>
        <v>67019</v>
      </c>
      <c r="F110" s="46">
        <f>SUM(F111:F113)</f>
        <v>67019</v>
      </c>
    </row>
    <row r="111" spans="2:6" ht="18" customHeight="1" x14ac:dyDescent="0.25">
      <c r="B111" s="16" t="s">
        <v>15</v>
      </c>
      <c r="C111" s="47">
        <v>43314</v>
      </c>
      <c r="D111" s="47">
        <v>-25.61</v>
      </c>
      <c r="E111" s="47">
        <f>C111+D111</f>
        <v>43288.39</v>
      </c>
      <c r="F111" s="47">
        <v>43288.39</v>
      </c>
    </row>
    <row r="112" spans="2:6" ht="18" customHeight="1" x14ac:dyDescent="0.25">
      <c r="B112" s="16" t="s">
        <v>37</v>
      </c>
      <c r="C112" s="48"/>
      <c r="D112" s="48">
        <v>309.05</v>
      </c>
      <c r="E112" s="47">
        <f>C112+D112</f>
        <v>309.05</v>
      </c>
      <c r="F112" s="48">
        <v>309.05</v>
      </c>
    </row>
    <row r="113" spans="2:6" ht="18" customHeight="1" thickBot="1" x14ac:dyDescent="0.3">
      <c r="B113" s="17" t="s">
        <v>23</v>
      </c>
      <c r="C113" s="49">
        <v>23705</v>
      </c>
      <c r="D113" s="49">
        <v>-283.44</v>
      </c>
      <c r="E113" s="49">
        <f>C113+D113</f>
        <v>23421.56</v>
      </c>
      <c r="F113" s="49">
        <v>23421.56</v>
      </c>
    </row>
    <row r="114" spans="2:6" ht="18" customHeight="1" thickBot="1" x14ac:dyDescent="0.35">
      <c r="B114" s="12" t="s">
        <v>24</v>
      </c>
      <c r="C114" s="46">
        <f>SUM(C115)</f>
        <v>850</v>
      </c>
      <c r="D114" s="46">
        <f>SUM(D115)</f>
        <v>-74.25</v>
      </c>
      <c r="E114" s="46">
        <f>SUM(E115)</f>
        <v>775.75</v>
      </c>
      <c r="F114" s="46">
        <f>SUM(F115)</f>
        <v>775.75</v>
      </c>
    </row>
    <row r="115" spans="2:6" ht="18" customHeight="1" thickBot="1" x14ac:dyDescent="0.3">
      <c r="B115" s="18" t="s">
        <v>25</v>
      </c>
      <c r="C115" s="49">
        <v>850</v>
      </c>
      <c r="D115" s="49">
        <v>-74.25</v>
      </c>
      <c r="E115" s="49">
        <f>C115+D115</f>
        <v>775.75</v>
      </c>
      <c r="F115" s="49">
        <v>775.75</v>
      </c>
    </row>
    <row r="116" spans="2:6" ht="18" customHeight="1" thickBot="1" x14ac:dyDescent="0.35">
      <c r="B116" s="12" t="s">
        <v>38</v>
      </c>
      <c r="C116" s="46">
        <f>SUM(C117:C120)</f>
        <v>0</v>
      </c>
      <c r="D116" s="46"/>
      <c r="E116" s="46">
        <f>SUM(E117:E120)</f>
        <v>0</v>
      </c>
      <c r="F116" s="46"/>
    </row>
    <row r="117" spans="2:6" ht="18" customHeight="1" x14ac:dyDescent="0.25">
      <c r="B117" s="16" t="s">
        <v>42</v>
      </c>
      <c r="C117" s="50"/>
      <c r="D117" s="50"/>
      <c r="E117" s="50"/>
      <c r="F117" s="50"/>
    </row>
    <row r="118" spans="2:6" ht="18" customHeight="1" x14ac:dyDescent="0.25">
      <c r="B118" s="25" t="s">
        <v>45</v>
      </c>
      <c r="C118" s="47"/>
      <c r="D118" s="47"/>
      <c r="E118" s="47"/>
      <c r="F118" s="47"/>
    </row>
    <row r="119" spans="2:6" ht="18" customHeight="1" x14ac:dyDescent="0.25">
      <c r="B119" s="25" t="s">
        <v>43</v>
      </c>
      <c r="C119" s="48"/>
      <c r="D119" s="48"/>
      <c r="E119" s="48"/>
      <c r="F119" s="48"/>
    </row>
    <row r="120" spans="2:6" ht="18" customHeight="1" thickBot="1" x14ac:dyDescent="0.3">
      <c r="B120" s="16" t="s">
        <v>39</v>
      </c>
      <c r="C120" s="30"/>
      <c r="D120" s="30"/>
      <c r="E120" s="49"/>
      <c r="F120" s="49"/>
    </row>
    <row r="121" spans="2:6" ht="18" customHeight="1" thickBot="1" x14ac:dyDescent="0.35">
      <c r="B121" s="13" t="s">
        <v>3</v>
      </c>
      <c r="C121" s="3">
        <f>SUM(C80+C88+C110+C114+C116)</f>
        <v>7238885</v>
      </c>
      <c r="D121" s="3">
        <f>SUM(D80+D88+D110+D114+D116)</f>
        <v>-219784.91</v>
      </c>
      <c r="E121" s="3">
        <f>SUM(E80+E88+E110+E114+E116)</f>
        <v>7019100.0899999999</v>
      </c>
      <c r="F121" s="3">
        <f>SUM(F80+F88+F110+F114+F116)</f>
        <v>7019099.3499999996</v>
      </c>
    </row>
    <row r="123" spans="2:6" ht="18" customHeight="1" x14ac:dyDescent="0.2">
      <c r="B123" s="111" t="s">
        <v>81</v>
      </c>
    </row>
    <row r="138" spans="1:6" ht="18" customHeight="1" x14ac:dyDescent="0.2">
      <c r="A138" s="2" t="s">
        <v>36</v>
      </c>
      <c r="B138" s="2"/>
    </row>
    <row r="139" spans="1:6" ht="18" customHeight="1" x14ac:dyDescent="0.2">
      <c r="A139" s="2" t="s">
        <v>1</v>
      </c>
      <c r="B139" s="2"/>
    </row>
    <row r="140" spans="1:6" ht="18" customHeight="1" x14ac:dyDescent="0.2">
      <c r="A140" s="2" t="s">
        <v>2</v>
      </c>
      <c r="B140" s="2"/>
    </row>
    <row r="141" spans="1:6" ht="18" customHeight="1" x14ac:dyDescent="0.2">
      <c r="B141" s="2"/>
    </row>
    <row r="142" spans="1:6" ht="18" customHeight="1" x14ac:dyDescent="0.35">
      <c r="A142" s="32" t="s">
        <v>53</v>
      </c>
      <c r="B142" s="32"/>
      <c r="C142" s="32"/>
      <c r="D142" s="32"/>
      <c r="E142" s="39"/>
    </row>
    <row r="143" spans="1:6" ht="18" customHeight="1" x14ac:dyDescent="0.35">
      <c r="A143" s="112" t="s">
        <v>51</v>
      </c>
      <c r="B143" s="112"/>
      <c r="C143" s="112"/>
      <c r="D143" s="112"/>
      <c r="E143" s="112"/>
    </row>
    <row r="144" spans="1:6" ht="18" customHeight="1" x14ac:dyDescent="0.4">
      <c r="B144" s="113"/>
      <c r="C144" s="113"/>
      <c r="D144" s="36"/>
      <c r="E144" s="112" t="s">
        <v>54</v>
      </c>
      <c r="F144" s="112"/>
    </row>
    <row r="145" spans="1:6" ht="18" customHeight="1" x14ac:dyDescent="0.25">
      <c r="B145" s="33" t="s">
        <v>0</v>
      </c>
      <c r="C145" s="31"/>
      <c r="D145" s="31"/>
    </row>
    <row r="146" spans="1:6" ht="18" customHeight="1" x14ac:dyDescent="0.25">
      <c r="A146" s="31"/>
      <c r="B146" s="34" t="s">
        <v>41</v>
      </c>
      <c r="C146" s="31"/>
      <c r="D146" s="31"/>
    </row>
    <row r="147" spans="1:6" ht="18" customHeight="1" thickBot="1" x14ac:dyDescent="0.25">
      <c r="B147" s="1"/>
      <c r="C147" s="1"/>
      <c r="D147" s="1"/>
    </row>
    <row r="148" spans="1:6" ht="18" customHeight="1" x14ac:dyDescent="0.2">
      <c r="B148" s="114" t="s">
        <v>52</v>
      </c>
      <c r="C148" s="124" t="s">
        <v>48</v>
      </c>
      <c r="D148" s="124" t="s">
        <v>46</v>
      </c>
      <c r="E148" s="124" t="s">
        <v>44</v>
      </c>
      <c r="F148" s="124" t="s">
        <v>47</v>
      </c>
    </row>
    <row r="149" spans="1:6" ht="18" customHeight="1" x14ac:dyDescent="0.2">
      <c r="B149" s="115"/>
      <c r="C149" s="125"/>
      <c r="D149" s="125"/>
      <c r="E149" s="125"/>
      <c r="F149" s="125"/>
    </row>
    <row r="150" spans="1:6" ht="18" customHeight="1" thickBot="1" x14ac:dyDescent="0.25">
      <c r="B150" s="116"/>
      <c r="C150" s="126"/>
      <c r="D150" s="126"/>
      <c r="E150" s="126"/>
      <c r="F150" s="126"/>
    </row>
    <row r="151" spans="1:6" ht="18" customHeight="1" x14ac:dyDescent="0.2">
      <c r="B151" s="122" t="s">
        <v>4</v>
      </c>
      <c r="C151" s="127">
        <f>SUM(C153:C158)</f>
        <v>6949902</v>
      </c>
      <c r="D151" s="127">
        <f>SUM(D153:D158)</f>
        <v>196751.19699999999</v>
      </c>
      <c r="E151" s="127">
        <f>SUM(E153:E158)</f>
        <v>7146653.1969999997</v>
      </c>
      <c r="F151" s="127">
        <f>SUM(F153:F158)</f>
        <v>7146651.5599999996</v>
      </c>
    </row>
    <row r="152" spans="1:6" ht="18" customHeight="1" thickBot="1" x14ac:dyDescent="0.25">
      <c r="B152" s="123"/>
      <c r="C152" s="128"/>
      <c r="D152" s="128"/>
      <c r="E152" s="128"/>
      <c r="F152" s="128"/>
    </row>
    <row r="153" spans="1:6" ht="18" customHeight="1" x14ac:dyDescent="0.25">
      <c r="B153" s="14" t="s">
        <v>31</v>
      </c>
      <c r="C153" s="40">
        <v>6108462</v>
      </c>
      <c r="D153" s="40">
        <f>+(-133658.19)+320817.98</f>
        <v>187159.78999999998</v>
      </c>
      <c r="E153" s="40">
        <f t="shared" ref="E153:E158" si="7">C153+D153</f>
        <v>6295621.79</v>
      </c>
      <c r="F153" s="40">
        <f>5974803.78+320817.98</f>
        <v>6295621.7599999998</v>
      </c>
    </row>
    <row r="154" spans="1:6" ht="18" customHeight="1" x14ac:dyDescent="0.25">
      <c r="B154" s="7" t="s">
        <v>32</v>
      </c>
      <c r="C154" s="40"/>
      <c r="D154" s="40"/>
      <c r="E154" s="40">
        <f t="shared" si="7"/>
        <v>0</v>
      </c>
      <c r="F154" s="40"/>
    </row>
    <row r="155" spans="1:6" ht="18" customHeight="1" x14ac:dyDescent="0.25">
      <c r="B155" s="7" t="s">
        <v>40</v>
      </c>
      <c r="C155" s="40"/>
      <c r="D155" s="40"/>
      <c r="E155" s="40">
        <f t="shared" si="7"/>
        <v>0</v>
      </c>
      <c r="F155" s="40"/>
    </row>
    <row r="156" spans="1:6" ht="18" customHeight="1" x14ac:dyDescent="0.25">
      <c r="B156" s="7" t="s">
        <v>33</v>
      </c>
      <c r="C156" s="40">
        <v>602010</v>
      </c>
      <c r="D156" s="40">
        <f>+(-67250.693)+25304.96</f>
        <v>-41945.733</v>
      </c>
      <c r="E156" s="40">
        <f t="shared" si="7"/>
        <v>560064.26699999999</v>
      </c>
      <c r="F156" s="40">
        <f>534758.42+25304.96</f>
        <v>560063.38</v>
      </c>
    </row>
    <row r="157" spans="1:6" ht="18" customHeight="1" x14ac:dyDescent="0.25">
      <c r="B157" s="8" t="s">
        <v>34</v>
      </c>
      <c r="C157" s="40">
        <v>239430</v>
      </c>
      <c r="D157" s="40">
        <f>31867.4+19669.74</f>
        <v>51537.14</v>
      </c>
      <c r="E157" s="40">
        <f t="shared" si="7"/>
        <v>290967.14</v>
      </c>
      <c r="F157" s="40">
        <f>271296.68+19669.74</f>
        <v>290966.42</v>
      </c>
    </row>
    <row r="158" spans="1:6" ht="18" customHeight="1" thickBot="1" x14ac:dyDescent="0.3">
      <c r="B158" s="23" t="s">
        <v>35</v>
      </c>
      <c r="C158" s="51"/>
      <c r="D158" s="40"/>
      <c r="E158" s="40">
        <f t="shared" si="7"/>
        <v>0</v>
      </c>
      <c r="F158" s="51">
        <v>0</v>
      </c>
    </row>
    <row r="159" spans="1:6" ht="18" customHeight="1" x14ac:dyDescent="0.2">
      <c r="B159" s="122" t="s">
        <v>29</v>
      </c>
      <c r="C159" s="127">
        <f>C161+C166+C168+C174+C177+C180</f>
        <v>9343365</v>
      </c>
      <c r="D159" s="127">
        <f t="shared" ref="D159:F159" si="8">D161+D166+D168+D174+D177+D180</f>
        <v>-157865.10000000003</v>
      </c>
      <c r="E159" s="127">
        <f t="shared" si="8"/>
        <v>9185499.9000000004</v>
      </c>
      <c r="F159" s="127">
        <f t="shared" si="8"/>
        <v>9185499.8399999999</v>
      </c>
    </row>
    <row r="160" spans="1:6" ht="18" customHeight="1" thickBot="1" x14ac:dyDescent="0.25">
      <c r="B160" s="123"/>
      <c r="C160" s="128"/>
      <c r="D160" s="128"/>
      <c r="E160" s="128"/>
      <c r="F160" s="128"/>
    </row>
    <row r="161" spans="2:6" ht="18" customHeight="1" x14ac:dyDescent="0.25">
      <c r="B161" s="6" t="s">
        <v>11</v>
      </c>
      <c r="C161" s="41">
        <f>SUM(C162:C165)</f>
        <v>918822</v>
      </c>
      <c r="D161" s="41">
        <f>SUM(D162:D165)</f>
        <v>377.83999999999946</v>
      </c>
      <c r="E161" s="41">
        <f>SUM(E162:E165)</f>
        <v>919199.84</v>
      </c>
      <c r="F161" s="41">
        <f>SUM(F162:F165)</f>
        <v>919199.84</v>
      </c>
    </row>
    <row r="162" spans="2:6" ht="18" customHeight="1" x14ac:dyDescent="0.25">
      <c r="B162" s="7" t="s">
        <v>5</v>
      </c>
      <c r="C162" s="42">
        <v>432810</v>
      </c>
      <c r="D162" s="42">
        <v>-10241.200000000001</v>
      </c>
      <c r="E162" s="42">
        <f>C162+D162</f>
        <v>422568.8</v>
      </c>
      <c r="F162" s="42">
        <v>422568.8</v>
      </c>
    </row>
    <row r="163" spans="2:6" ht="18" customHeight="1" x14ac:dyDescent="0.25">
      <c r="B163" s="7" t="s">
        <v>6</v>
      </c>
      <c r="C163" s="42">
        <v>416880</v>
      </c>
      <c r="D163" s="42">
        <v>18345.68</v>
      </c>
      <c r="E163" s="42">
        <f>C163+D163</f>
        <v>435225.68</v>
      </c>
      <c r="F163" s="42">
        <v>435225.68</v>
      </c>
    </row>
    <row r="164" spans="2:6" ht="18" customHeight="1" x14ac:dyDescent="0.25">
      <c r="B164" s="7" t="s">
        <v>7</v>
      </c>
      <c r="C164" s="42">
        <v>67080</v>
      </c>
      <c r="D164" s="42">
        <v>-6751.13</v>
      </c>
      <c r="E164" s="42">
        <f>C164+D164</f>
        <v>60328.87</v>
      </c>
      <c r="F164" s="42">
        <v>60328.87</v>
      </c>
    </row>
    <row r="165" spans="2:6" ht="18" customHeight="1" x14ac:dyDescent="0.25">
      <c r="B165" s="8" t="s">
        <v>8</v>
      </c>
      <c r="C165" s="42">
        <v>2052</v>
      </c>
      <c r="D165" s="42">
        <v>-975.51</v>
      </c>
      <c r="E165" s="42">
        <f>C165+D165</f>
        <v>1076.49</v>
      </c>
      <c r="F165" s="42">
        <v>1076.49</v>
      </c>
    </row>
    <row r="166" spans="2:6" ht="18" customHeight="1" x14ac:dyDescent="0.25">
      <c r="B166" s="9" t="s">
        <v>12</v>
      </c>
      <c r="C166" s="43">
        <f>SUM(C167)</f>
        <v>7830255</v>
      </c>
      <c r="D166" s="43">
        <f>SUM(D167)</f>
        <v>270</v>
      </c>
      <c r="E166" s="43">
        <f>SUM(E167)</f>
        <v>7830525</v>
      </c>
      <c r="F166" s="43">
        <f>SUM(F167)</f>
        <v>7830525</v>
      </c>
    </row>
    <row r="167" spans="2:6" ht="18" customHeight="1" x14ac:dyDescent="0.25">
      <c r="B167" s="10" t="s">
        <v>16</v>
      </c>
      <c r="C167" s="42">
        <v>7830255</v>
      </c>
      <c r="D167" s="42">
        <v>270</v>
      </c>
      <c r="E167" s="42">
        <f>C167+D167</f>
        <v>7830525</v>
      </c>
      <c r="F167" s="42">
        <v>7830525</v>
      </c>
    </row>
    <row r="168" spans="2:6" ht="18" customHeight="1" x14ac:dyDescent="0.25">
      <c r="B168" s="11" t="s">
        <v>21</v>
      </c>
      <c r="C168" s="44">
        <f>SUM(C169:C173)</f>
        <v>283040</v>
      </c>
      <c r="D168" s="44">
        <f>SUM(D169:D173)</f>
        <v>-214767.38</v>
      </c>
      <c r="E168" s="44">
        <f>SUM(E169:E173)</f>
        <v>68272.62</v>
      </c>
      <c r="F168" s="44">
        <f>SUM(F169:F173)</f>
        <v>68272.62</v>
      </c>
    </row>
    <row r="169" spans="2:6" ht="18" customHeight="1" x14ac:dyDescent="0.25">
      <c r="B169" s="8" t="s">
        <v>20</v>
      </c>
      <c r="C169" s="42">
        <v>32400</v>
      </c>
      <c r="D169" s="42">
        <v>-7692.73</v>
      </c>
      <c r="E169" s="42">
        <f>C169+D169</f>
        <v>24707.27</v>
      </c>
      <c r="F169" s="42">
        <v>24707.27</v>
      </c>
    </row>
    <row r="170" spans="2:6" ht="18" customHeight="1" x14ac:dyDescent="0.25">
      <c r="B170" s="8" t="s">
        <v>30</v>
      </c>
      <c r="C170" s="42"/>
      <c r="D170" s="42">
        <v>25821.200000000001</v>
      </c>
      <c r="E170" s="42">
        <f>C170+D170</f>
        <v>25821.200000000001</v>
      </c>
      <c r="F170" s="42">
        <v>25821.200000000001</v>
      </c>
    </row>
    <row r="171" spans="2:6" ht="18" customHeight="1" x14ac:dyDescent="0.25">
      <c r="B171" s="8" t="s">
        <v>19</v>
      </c>
      <c r="C171" s="42">
        <f>45255+9455</f>
        <v>54710</v>
      </c>
      <c r="D171" s="42">
        <f>-44813-9385</f>
        <v>-54198</v>
      </c>
      <c r="E171" s="42">
        <f t="shared" ref="E171:E172" si="9">C171+D171</f>
        <v>512</v>
      </c>
      <c r="F171" s="42">
        <f>442+70</f>
        <v>512</v>
      </c>
    </row>
    <row r="172" spans="2:6" ht="18" customHeight="1" x14ac:dyDescent="0.25">
      <c r="B172" s="8" t="s">
        <v>17</v>
      </c>
      <c r="C172" s="42">
        <v>154280</v>
      </c>
      <c r="D172" s="42">
        <v>-149249.85</v>
      </c>
      <c r="E172" s="42">
        <f t="shared" si="9"/>
        <v>5030.1499999999942</v>
      </c>
      <c r="F172" s="42">
        <v>5030.1499999999996</v>
      </c>
    </row>
    <row r="173" spans="2:6" ht="18" customHeight="1" x14ac:dyDescent="0.25">
      <c r="B173" s="8" t="s">
        <v>18</v>
      </c>
      <c r="C173" s="42">
        <v>41650</v>
      </c>
      <c r="D173" s="42">
        <v>-29448</v>
      </c>
      <c r="E173" s="42">
        <v>12202</v>
      </c>
      <c r="F173" s="42">
        <v>12202</v>
      </c>
    </row>
    <row r="174" spans="2:6" ht="18" customHeight="1" x14ac:dyDescent="0.25">
      <c r="B174" s="11" t="s">
        <v>26</v>
      </c>
      <c r="C174" s="44">
        <f>SUM(C175:C176)</f>
        <v>84165</v>
      </c>
      <c r="D174" s="44">
        <f>SUM(D175:D176)</f>
        <v>-59691.119999999995</v>
      </c>
      <c r="E174" s="44">
        <f>SUM(E175:E176)</f>
        <v>24473.88</v>
      </c>
      <c r="F174" s="44">
        <f>SUM(F175:F176)</f>
        <v>24473.88</v>
      </c>
    </row>
    <row r="175" spans="2:6" ht="18" customHeight="1" x14ac:dyDescent="0.25">
      <c r="B175" s="8" t="s">
        <v>27</v>
      </c>
      <c r="C175" s="42">
        <v>24165</v>
      </c>
      <c r="D175" s="42">
        <v>-20744.95</v>
      </c>
      <c r="E175" s="42">
        <f>C175+D175</f>
        <v>3420.0499999999993</v>
      </c>
      <c r="F175" s="42">
        <v>3420.05</v>
      </c>
    </row>
    <row r="176" spans="2:6" ht="18" customHeight="1" x14ac:dyDescent="0.25">
      <c r="B176" s="8" t="s">
        <v>28</v>
      </c>
      <c r="C176" s="42">
        <v>60000</v>
      </c>
      <c r="D176" s="42">
        <v>-38946.17</v>
      </c>
      <c r="E176" s="42">
        <f>C176+D176</f>
        <v>21053.83</v>
      </c>
      <c r="F176" s="42">
        <v>21053.83</v>
      </c>
    </row>
    <row r="177" spans="2:6" ht="18" customHeight="1" x14ac:dyDescent="0.25">
      <c r="B177" s="11" t="s">
        <v>13</v>
      </c>
      <c r="C177" s="44">
        <f>SUM(C178:C179)</f>
        <v>125040</v>
      </c>
      <c r="D177" s="44">
        <f>SUM(D178:D179)</f>
        <v>-13270</v>
      </c>
      <c r="E177" s="44">
        <f>SUM(E178:E179)</f>
        <v>111770</v>
      </c>
      <c r="F177" s="44">
        <f>SUM(F178:F179)</f>
        <v>111770</v>
      </c>
    </row>
    <row r="178" spans="2:6" ht="18" customHeight="1" x14ac:dyDescent="0.25">
      <c r="B178" s="8" t="s">
        <v>9</v>
      </c>
      <c r="C178" s="42">
        <v>37740</v>
      </c>
      <c r="D178" s="42">
        <v>-13270</v>
      </c>
      <c r="E178" s="42">
        <f>C178+D178</f>
        <v>24470</v>
      </c>
      <c r="F178" s="42">
        <v>24470</v>
      </c>
    </row>
    <row r="179" spans="2:6" ht="18" customHeight="1" x14ac:dyDescent="0.25">
      <c r="B179" s="8" t="s">
        <v>10</v>
      </c>
      <c r="C179" s="42">
        <v>87300</v>
      </c>
      <c r="D179" s="42"/>
      <c r="E179" s="42">
        <f>C179+D179</f>
        <v>87300</v>
      </c>
      <c r="F179" s="42">
        <v>87300</v>
      </c>
    </row>
    <row r="180" spans="2:6" ht="18" customHeight="1" thickBot="1" x14ac:dyDescent="0.3">
      <c r="B180" s="15" t="s">
        <v>14</v>
      </c>
      <c r="C180" s="52">
        <f>2560+3468+17000+50000+800+28215</f>
        <v>102043</v>
      </c>
      <c r="D180" s="52">
        <f>(0.06+4001.82+5180.22+463.76+23359.8+10298.13+31170.06+2592.5+550.87+448.5+2685.42+14811.37+5096.1+114.31+31.56+43235.78+2114.9+2276)+(-1088.56-13931.61-200.33-3995.1)</f>
        <v>129215.56</v>
      </c>
      <c r="E180" s="42">
        <f>C180+D180</f>
        <v>231258.56</v>
      </c>
      <c r="F180" s="38">
        <f>4001.82+5180.22+463.76+23359.8+10298.13+31170.06+2592.5+3110.87+448.5+2685.42+14811.37+5096.1+114.31+2379.44+31.56+3068.39+93235.78+599.67+2114.9+24219.9+2276</f>
        <v>231258.49999999997</v>
      </c>
    </row>
    <row r="181" spans="2:6" ht="18" customHeight="1" thickBot="1" x14ac:dyDescent="0.35">
      <c r="B181" s="12" t="s">
        <v>22</v>
      </c>
      <c r="C181" s="46">
        <f>SUM(C182:C184)</f>
        <v>106535</v>
      </c>
      <c r="D181" s="46">
        <f>SUM(D182:D184)</f>
        <v>6055.04</v>
      </c>
      <c r="E181" s="46">
        <f>SUM(E182:E184)</f>
        <v>112590.04</v>
      </c>
      <c r="F181" s="46">
        <f>SUM(F182:F184)</f>
        <v>112590.04</v>
      </c>
    </row>
    <row r="182" spans="2:6" ht="18" customHeight="1" x14ac:dyDescent="0.25">
      <c r="B182" s="16" t="s">
        <v>15</v>
      </c>
      <c r="C182" s="47">
        <v>82830</v>
      </c>
      <c r="D182" s="47">
        <v>-469.48</v>
      </c>
      <c r="E182" s="47">
        <f>C182+D182</f>
        <v>82360.52</v>
      </c>
      <c r="F182" s="47">
        <v>82360.52</v>
      </c>
    </row>
    <row r="183" spans="2:6" ht="18" customHeight="1" x14ac:dyDescent="0.25">
      <c r="B183" s="16" t="s">
        <v>37</v>
      </c>
      <c r="C183" s="48"/>
      <c r="D183" s="48">
        <v>467.18</v>
      </c>
      <c r="E183" s="47">
        <f>C183+D183</f>
        <v>467.18</v>
      </c>
      <c r="F183" s="48">
        <v>467.18</v>
      </c>
    </row>
    <row r="184" spans="2:6" ht="18" customHeight="1" thickBot="1" x14ac:dyDescent="0.3">
      <c r="B184" s="17" t="s">
        <v>23</v>
      </c>
      <c r="C184" s="49">
        <v>23705</v>
      </c>
      <c r="D184" s="49">
        <v>6057.34</v>
      </c>
      <c r="E184" s="49">
        <f>C184+D184</f>
        <v>29762.34</v>
      </c>
      <c r="F184" s="49">
        <v>29762.34</v>
      </c>
    </row>
    <row r="185" spans="2:6" ht="18" customHeight="1" thickBot="1" x14ac:dyDescent="0.35">
      <c r="B185" s="12" t="s">
        <v>24</v>
      </c>
      <c r="C185" s="46">
        <f>SUM(C186)</f>
        <v>1700</v>
      </c>
      <c r="D185" s="46">
        <f>SUM(D186)</f>
        <v>1386.94</v>
      </c>
      <c r="E185" s="46">
        <f>SUM(E186)</f>
        <v>3086.94</v>
      </c>
      <c r="F185" s="46">
        <f>SUM(F186)</f>
        <v>3086.94</v>
      </c>
    </row>
    <row r="186" spans="2:6" ht="18" customHeight="1" thickBot="1" x14ac:dyDescent="0.3">
      <c r="B186" s="18" t="s">
        <v>25</v>
      </c>
      <c r="C186" s="49">
        <v>1700</v>
      </c>
      <c r="D186" s="49">
        <v>1386.94</v>
      </c>
      <c r="E186" s="49">
        <f>C186+D186</f>
        <v>3086.94</v>
      </c>
      <c r="F186" s="49">
        <v>3086.94</v>
      </c>
    </row>
    <row r="187" spans="2:6" ht="18" customHeight="1" thickBot="1" x14ac:dyDescent="0.35">
      <c r="B187" s="12" t="s">
        <v>38</v>
      </c>
      <c r="C187" s="46">
        <f>SUM(C188:C191)</f>
        <v>0</v>
      </c>
      <c r="D187" s="46"/>
      <c r="E187" s="46">
        <f>SUM(E188:E191)</f>
        <v>0</v>
      </c>
      <c r="F187" s="46"/>
    </row>
    <row r="188" spans="2:6" ht="18" customHeight="1" x14ac:dyDescent="0.25">
      <c r="B188" s="16" t="s">
        <v>42</v>
      </c>
      <c r="C188" s="50"/>
      <c r="D188" s="50"/>
      <c r="E188" s="50"/>
      <c r="F188" s="50"/>
    </row>
    <row r="189" spans="2:6" ht="18" customHeight="1" x14ac:dyDescent="0.25">
      <c r="B189" s="25" t="s">
        <v>45</v>
      </c>
      <c r="C189" s="47"/>
      <c r="D189" s="47"/>
      <c r="E189" s="47"/>
      <c r="F189" s="47"/>
    </row>
    <row r="190" spans="2:6" ht="18" customHeight="1" x14ac:dyDescent="0.25">
      <c r="B190" s="25" t="s">
        <v>43</v>
      </c>
      <c r="C190" s="48"/>
      <c r="D190" s="48"/>
      <c r="E190" s="48"/>
      <c r="F190" s="48"/>
    </row>
    <row r="191" spans="2:6" ht="18" customHeight="1" thickBot="1" x14ac:dyDescent="0.3">
      <c r="B191" s="16" t="s">
        <v>39</v>
      </c>
      <c r="C191" s="49"/>
      <c r="D191" s="49"/>
      <c r="E191" s="49"/>
      <c r="F191" s="49"/>
    </row>
    <row r="192" spans="2:6" ht="18" customHeight="1" thickBot="1" x14ac:dyDescent="0.35">
      <c r="B192" s="13" t="s">
        <v>3</v>
      </c>
      <c r="C192" s="3">
        <f>SUM(C151+C159+C181+C185+C187)</f>
        <v>16401502</v>
      </c>
      <c r="D192" s="3">
        <f>SUM(D151+D159+D181+D185+D187)</f>
        <v>46328.076999999954</v>
      </c>
      <c r="E192" s="3">
        <f>SUM(E151+E159+E181+E185+E187)</f>
        <v>16447830.076999998</v>
      </c>
      <c r="F192" s="3">
        <f>SUM(F151+F159+F181+F185+F187)</f>
        <v>16447828.379999997</v>
      </c>
    </row>
    <row r="194" spans="2:6" ht="18" customHeight="1" x14ac:dyDescent="0.2">
      <c r="B194" s="56"/>
    </row>
    <row r="195" spans="2:6" ht="18" customHeight="1" x14ac:dyDescent="0.25">
      <c r="B195" s="33" t="s">
        <v>63</v>
      </c>
      <c r="C195" s="31"/>
      <c r="D195" s="31"/>
    </row>
    <row r="196" spans="2:6" ht="18" customHeight="1" x14ac:dyDescent="0.25">
      <c r="B196" s="34" t="s">
        <v>64</v>
      </c>
      <c r="C196" s="31"/>
      <c r="D196" s="31"/>
    </row>
    <row r="197" spans="2:6" ht="18" customHeight="1" thickBot="1" x14ac:dyDescent="0.25">
      <c r="B197" s="1"/>
      <c r="C197" s="1"/>
      <c r="D197" s="1"/>
    </row>
    <row r="198" spans="2:6" ht="18" customHeight="1" x14ac:dyDescent="0.2">
      <c r="B198" s="114" t="s">
        <v>52</v>
      </c>
      <c r="C198" s="124" t="s">
        <v>48</v>
      </c>
      <c r="D198" s="124" t="s">
        <v>46</v>
      </c>
      <c r="E198" s="124" t="s">
        <v>44</v>
      </c>
      <c r="F198" s="124" t="s">
        <v>47</v>
      </c>
    </row>
    <row r="199" spans="2:6" ht="18" customHeight="1" x14ac:dyDescent="0.2">
      <c r="B199" s="115"/>
      <c r="C199" s="125"/>
      <c r="D199" s="125"/>
      <c r="E199" s="125"/>
      <c r="F199" s="125"/>
    </row>
    <row r="200" spans="2:6" ht="18" customHeight="1" thickBot="1" x14ac:dyDescent="0.25">
      <c r="B200" s="116"/>
      <c r="C200" s="126"/>
      <c r="D200" s="126"/>
      <c r="E200" s="126"/>
      <c r="F200" s="126"/>
    </row>
    <row r="201" spans="2:6" ht="18" customHeight="1" thickBot="1" x14ac:dyDescent="0.35">
      <c r="B201" s="12" t="s">
        <v>38</v>
      </c>
      <c r="C201" s="46">
        <f>SUM(C202:C205)</f>
        <v>100</v>
      </c>
      <c r="D201" s="46">
        <f>SUM(D202:D205)</f>
        <v>0</v>
      </c>
      <c r="E201" s="46">
        <f>SUM(E202:E205)</f>
        <v>100</v>
      </c>
      <c r="F201" s="46">
        <f>SUM(F202:F205)</f>
        <v>0</v>
      </c>
    </row>
    <row r="202" spans="2:6" ht="18" customHeight="1" thickBot="1" x14ac:dyDescent="0.35">
      <c r="B202" s="16" t="s">
        <v>42</v>
      </c>
      <c r="C202" s="50"/>
      <c r="D202" s="50"/>
      <c r="E202" s="46">
        <f t="shared" ref="E202:E205" si="10">+C202-D202</f>
        <v>0</v>
      </c>
      <c r="F202" s="50"/>
    </row>
    <row r="203" spans="2:6" ht="18" customHeight="1" thickBot="1" x14ac:dyDescent="0.35">
      <c r="B203" s="25" t="s">
        <v>45</v>
      </c>
      <c r="C203" s="47"/>
      <c r="D203" s="47"/>
      <c r="E203" s="46">
        <f t="shared" si="10"/>
        <v>0</v>
      </c>
      <c r="F203" s="47"/>
    </row>
    <row r="204" spans="2:6" ht="18" customHeight="1" thickBot="1" x14ac:dyDescent="0.35">
      <c r="B204" s="25" t="s">
        <v>43</v>
      </c>
      <c r="C204" s="48"/>
      <c r="D204" s="48"/>
      <c r="E204" s="46">
        <f t="shared" si="10"/>
        <v>0</v>
      </c>
      <c r="F204" s="48"/>
    </row>
    <row r="205" spans="2:6" ht="18" customHeight="1" thickBot="1" x14ac:dyDescent="0.3">
      <c r="B205" s="16" t="s">
        <v>65</v>
      </c>
      <c r="C205" s="49">
        <v>100</v>
      </c>
      <c r="D205" s="49"/>
      <c r="E205" s="49">
        <f t="shared" si="10"/>
        <v>100</v>
      </c>
      <c r="F205" s="49"/>
    </row>
    <row r="206" spans="2:6" ht="18" customHeight="1" thickBot="1" x14ac:dyDescent="0.35">
      <c r="B206" s="13" t="s">
        <v>3</v>
      </c>
      <c r="C206" s="3">
        <f>+C201</f>
        <v>100</v>
      </c>
      <c r="D206" s="3">
        <f>+D201</f>
        <v>0</v>
      </c>
      <c r="E206" s="3">
        <f>+E201</f>
        <v>100</v>
      </c>
      <c r="F206" s="3">
        <f>+F201</f>
        <v>0</v>
      </c>
    </row>
    <row r="210" spans="1:6" ht="18" customHeight="1" x14ac:dyDescent="0.2">
      <c r="A210" s="2" t="s">
        <v>36</v>
      </c>
      <c r="B210" s="2"/>
    </row>
    <row r="211" spans="1:6" ht="18" customHeight="1" x14ac:dyDescent="0.2">
      <c r="A211" s="2" t="s">
        <v>1</v>
      </c>
      <c r="B211" s="2"/>
    </row>
    <row r="212" spans="1:6" ht="18" customHeight="1" x14ac:dyDescent="0.2">
      <c r="A212" s="2" t="s">
        <v>2</v>
      </c>
      <c r="B212" s="2"/>
    </row>
    <row r="213" spans="1:6" ht="18" customHeight="1" x14ac:dyDescent="0.2">
      <c r="B213" s="2"/>
    </row>
    <row r="214" spans="1:6" ht="18" customHeight="1" x14ac:dyDescent="0.35">
      <c r="A214" s="32" t="s">
        <v>53</v>
      </c>
      <c r="B214" s="32"/>
      <c r="C214" s="32"/>
      <c r="D214" s="32"/>
      <c r="E214" s="39"/>
    </row>
    <row r="215" spans="1:6" ht="18" customHeight="1" x14ac:dyDescent="0.35">
      <c r="A215" s="112" t="s">
        <v>51</v>
      </c>
      <c r="B215" s="112"/>
      <c r="C215" s="112"/>
      <c r="D215" s="112"/>
      <c r="E215" s="112"/>
    </row>
    <row r="216" spans="1:6" ht="18" customHeight="1" x14ac:dyDescent="0.4">
      <c r="B216" s="113"/>
      <c r="C216" s="113"/>
      <c r="D216" s="36"/>
      <c r="E216" s="112" t="s">
        <v>55</v>
      </c>
      <c r="F216" s="112"/>
    </row>
    <row r="217" spans="1:6" ht="18" customHeight="1" x14ac:dyDescent="0.25">
      <c r="B217" s="33" t="s">
        <v>0</v>
      </c>
      <c r="C217" s="31"/>
      <c r="D217" s="31"/>
    </row>
    <row r="218" spans="1:6" ht="18" customHeight="1" x14ac:dyDescent="0.25">
      <c r="A218" s="31"/>
      <c r="B218" s="34" t="s">
        <v>41</v>
      </c>
      <c r="C218" s="31"/>
      <c r="D218" s="31"/>
    </row>
    <row r="219" spans="1:6" ht="18" customHeight="1" thickBot="1" x14ac:dyDescent="0.25">
      <c r="B219" s="1"/>
      <c r="C219" s="1"/>
      <c r="D219" s="1"/>
    </row>
    <row r="220" spans="1:6" ht="18" customHeight="1" x14ac:dyDescent="0.2">
      <c r="B220" s="114" t="s">
        <v>52</v>
      </c>
      <c r="C220" s="124" t="s">
        <v>48</v>
      </c>
      <c r="D220" s="124" t="s">
        <v>46</v>
      </c>
      <c r="E220" s="124" t="s">
        <v>44</v>
      </c>
      <c r="F220" s="124" t="s">
        <v>47</v>
      </c>
    </row>
    <row r="221" spans="1:6" ht="18" customHeight="1" x14ac:dyDescent="0.2">
      <c r="B221" s="115"/>
      <c r="C221" s="125"/>
      <c r="D221" s="125"/>
      <c r="E221" s="125"/>
      <c r="F221" s="125"/>
    </row>
    <row r="222" spans="1:6" ht="18" customHeight="1" thickBot="1" x14ac:dyDescent="0.25">
      <c r="B222" s="116"/>
      <c r="C222" s="126"/>
      <c r="D222" s="126"/>
      <c r="E222" s="126"/>
      <c r="F222" s="126"/>
    </row>
    <row r="223" spans="1:6" ht="18" customHeight="1" x14ac:dyDescent="0.2">
      <c r="B223" s="122" t="s">
        <v>4</v>
      </c>
      <c r="C223" s="127">
        <f>SUM(C225:C230)</f>
        <v>10424853</v>
      </c>
      <c r="D223" s="127">
        <f>SUM(D225:D230)</f>
        <v>479161.10000000009</v>
      </c>
      <c r="E223" s="127">
        <f>SUM(E225:E230)</f>
        <v>10904014.1</v>
      </c>
      <c r="F223" s="127">
        <f>SUM(F225:F230)</f>
        <v>10904011.49</v>
      </c>
    </row>
    <row r="224" spans="1:6" ht="18" customHeight="1" thickBot="1" x14ac:dyDescent="0.25">
      <c r="B224" s="123"/>
      <c r="C224" s="128"/>
      <c r="D224" s="128"/>
      <c r="E224" s="128"/>
      <c r="F224" s="128"/>
    </row>
    <row r="225" spans="2:6" ht="18" customHeight="1" x14ac:dyDescent="0.25">
      <c r="B225" s="14" t="s">
        <v>31</v>
      </c>
      <c r="C225" s="40">
        <v>9162693</v>
      </c>
      <c r="D225" s="40">
        <f>(-177570.47)+622360.06</f>
        <v>444789.59000000008</v>
      </c>
      <c r="E225" s="40">
        <f t="shared" ref="E225:E230" si="11">C225+D225</f>
        <v>9607482.5899999999</v>
      </c>
      <c r="F225" s="40">
        <f>8985122.5+622360.06</f>
        <v>9607482.5600000005</v>
      </c>
    </row>
    <row r="226" spans="2:6" ht="18" customHeight="1" x14ac:dyDescent="0.25">
      <c r="B226" s="7" t="s">
        <v>32</v>
      </c>
      <c r="C226" s="40"/>
      <c r="D226" s="40"/>
      <c r="E226" s="40">
        <f t="shared" si="11"/>
        <v>0</v>
      </c>
      <c r="F226" s="40"/>
    </row>
    <row r="227" spans="2:6" ht="18" customHeight="1" x14ac:dyDescent="0.25">
      <c r="B227" s="7" t="s">
        <v>40</v>
      </c>
      <c r="C227" s="40"/>
      <c r="D227" s="40"/>
      <c r="E227" s="40">
        <f t="shared" si="11"/>
        <v>0</v>
      </c>
      <c r="F227" s="40"/>
    </row>
    <row r="228" spans="2:6" ht="18" customHeight="1" x14ac:dyDescent="0.25">
      <c r="B228" s="7" t="s">
        <v>33</v>
      </c>
      <c r="C228" s="40">
        <v>903015</v>
      </c>
      <c r="D228" s="40">
        <f>(-104129.68)+49106.91</f>
        <v>-55022.76999999999</v>
      </c>
      <c r="E228" s="40">
        <f t="shared" si="11"/>
        <v>847992.23</v>
      </c>
      <c r="F228" s="40">
        <f>798883.53+49106.91</f>
        <v>847990.44000000006</v>
      </c>
    </row>
    <row r="229" spans="2:6" ht="18" customHeight="1" x14ac:dyDescent="0.25">
      <c r="B229" s="8" t="s">
        <v>34</v>
      </c>
      <c r="C229" s="40">
        <v>359145</v>
      </c>
      <c r="D229" s="40">
        <f>51378.69+38015.59</f>
        <v>89394.28</v>
      </c>
      <c r="E229" s="40">
        <f t="shared" si="11"/>
        <v>448539.28</v>
      </c>
      <c r="F229" s="40">
        <f>410522.9+38015.59</f>
        <v>448538.49</v>
      </c>
    </row>
    <row r="230" spans="2:6" ht="18" customHeight="1" thickBot="1" x14ac:dyDescent="0.3">
      <c r="B230" s="23" t="s">
        <v>35</v>
      </c>
      <c r="C230" s="51"/>
      <c r="D230" s="40"/>
      <c r="E230" s="40">
        <f t="shared" si="11"/>
        <v>0</v>
      </c>
      <c r="F230" s="51">
        <v>0</v>
      </c>
    </row>
    <row r="231" spans="2:6" ht="18" customHeight="1" x14ac:dyDescent="0.2">
      <c r="B231" s="122" t="s">
        <v>29</v>
      </c>
      <c r="C231" s="127">
        <f>C233+C238+C240+C246+C249+C252</f>
        <v>14775665</v>
      </c>
      <c r="D231" s="127">
        <f t="shared" ref="D231:F231" si="12">D233+D238+D240+D246+D249+D252</f>
        <v>181157.09000000014</v>
      </c>
      <c r="E231" s="127">
        <f t="shared" si="12"/>
        <v>14956822.090000002</v>
      </c>
      <c r="F231" s="127">
        <f t="shared" si="12"/>
        <v>14956822.09</v>
      </c>
    </row>
    <row r="232" spans="2:6" ht="18" customHeight="1" thickBot="1" x14ac:dyDescent="0.25">
      <c r="B232" s="123"/>
      <c r="C232" s="128"/>
      <c r="D232" s="128"/>
      <c r="E232" s="128"/>
      <c r="F232" s="128"/>
    </row>
    <row r="233" spans="2:6" ht="18" customHeight="1" x14ac:dyDescent="0.25">
      <c r="B233" s="6" t="s">
        <v>11</v>
      </c>
      <c r="C233" s="41">
        <f>SUM(C234:C237)</f>
        <v>1378233</v>
      </c>
      <c r="D233" s="41">
        <f>SUM(D234:D237)</f>
        <v>42584.93</v>
      </c>
      <c r="E233" s="41">
        <f>SUM(E234:E237)</f>
        <v>1420817.93</v>
      </c>
      <c r="F233" s="41">
        <f>SUM(F234:F237)</f>
        <v>1420817.93</v>
      </c>
    </row>
    <row r="234" spans="2:6" ht="18" customHeight="1" x14ac:dyDescent="0.25">
      <c r="B234" s="7" t="s">
        <v>5</v>
      </c>
      <c r="C234" s="42">
        <v>649215</v>
      </c>
      <c r="D234" s="42">
        <v>37802.69</v>
      </c>
      <c r="E234" s="42">
        <f>C234+D234</f>
        <v>687017.69</v>
      </c>
      <c r="F234" s="42">
        <v>687017.69</v>
      </c>
    </row>
    <row r="235" spans="2:6" ht="18" customHeight="1" x14ac:dyDescent="0.25">
      <c r="B235" s="7" t="s">
        <v>6</v>
      </c>
      <c r="C235" s="42">
        <v>625320</v>
      </c>
      <c r="D235" s="42">
        <v>26329.25</v>
      </c>
      <c r="E235" s="42">
        <f>C235+D235</f>
        <v>651649.25</v>
      </c>
      <c r="F235" s="42">
        <v>651649.25</v>
      </c>
    </row>
    <row r="236" spans="2:6" ht="18" customHeight="1" x14ac:dyDescent="0.25">
      <c r="B236" s="7" t="s">
        <v>7</v>
      </c>
      <c r="C236" s="42">
        <v>100620</v>
      </c>
      <c r="D236" s="42">
        <v>-20211.11</v>
      </c>
      <c r="E236" s="42">
        <f>C236+D236</f>
        <v>80408.89</v>
      </c>
      <c r="F236" s="42">
        <v>80408.89</v>
      </c>
    </row>
    <row r="237" spans="2:6" ht="18" customHeight="1" x14ac:dyDescent="0.25">
      <c r="B237" s="8" t="s">
        <v>8</v>
      </c>
      <c r="C237" s="42">
        <v>3078</v>
      </c>
      <c r="D237" s="42">
        <v>-1335.9</v>
      </c>
      <c r="E237" s="42">
        <f>C237+D237</f>
        <v>1742.1</v>
      </c>
      <c r="F237" s="42">
        <v>1742.1</v>
      </c>
    </row>
    <row r="238" spans="2:6" ht="18" customHeight="1" x14ac:dyDescent="0.25">
      <c r="B238" s="9" t="s">
        <v>12</v>
      </c>
      <c r="C238" s="43">
        <f>SUM(C239)</f>
        <v>12612015</v>
      </c>
      <c r="D238" s="43">
        <f>SUM(D239)</f>
        <v>-181727.02</v>
      </c>
      <c r="E238" s="43">
        <f>SUM(E239)</f>
        <v>12430287.98</v>
      </c>
      <c r="F238" s="43">
        <f>SUM(F239)</f>
        <v>12430287.98</v>
      </c>
    </row>
    <row r="239" spans="2:6" ht="18" customHeight="1" x14ac:dyDescent="0.25">
      <c r="B239" s="10" t="s">
        <v>16</v>
      </c>
      <c r="C239" s="42">
        <v>12612015</v>
      </c>
      <c r="D239" s="42">
        <v>-181727.02</v>
      </c>
      <c r="E239" s="42">
        <f>C239+D239</f>
        <v>12430287.98</v>
      </c>
      <c r="F239" s="42">
        <v>12430287.98</v>
      </c>
    </row>
    <row r="240" spans="2:6" ht="18" customHeight="1" x14ac:dyDescent="0.25">
      <c r="B240" s="11" t="s">
        <v>21</v>
      </c>
      <c r="C240" s="44">
        <f>SUM(C241:C245)</f>
        <v>380285</v>
      </c>
      <c r="D240" s="44">
        <f>SUM(D241:D245)</f>
        <v>-78929.489999999976</v>
      </c>
      <c r="E240" s="44">
        <f>SUM(E241:E245)</f>
        <v>301355.51</v>
      </c>
      <c r="F240" s="44">
        <f>SUM(F241:F245)</f>
        <v>301355.51</v>
      </c>
    </row>
    <row r="241" spans="2:6" ht="18" customHeight="1" x14ac:dyDescent="0.25">
      <c r="B241" s="8" t="s">
        <v>20</v>
      </c>
      <c r="C241" s="42">
        <v>40700</v>
      </c>
      <c r="D241" s="42">
        <f>-11533.38+5894.4</f>
        <v>-5638.98</v>
      </c>
      <c r="E241" s="42">
        <f>C241+D241</f>
        <v>35061.020000000004</v>
      </c>
      <c r="F241" s="42">
        <f>29166.62+5894.4</f>
        <v>35061.019999999997</v>
      </c>
    </row>
    <row r="242" spans="2:6" ht="18" customHeight="1" x14ac:dyDescent="0.25">
      <c r="B242" s="8" t="s">
        <v>30</v>
      </c>
      <c r="C242" s="42"/>
      <c r="D242" s="42">
        <f>26782.8+42336</f>
        <v>69118.8</v>
      </c>
      <c r="E242" s="42">
        <f>C242+D242</f>
        <v>69118.8</v>
      </c>
      <c r="F242" s="42">
        <f>26782.8+42336</f>
        <v>69118.8</v>
      </c>
    </row>
    <row r="243" spans="2:6" ht="18" customHeight="1" x14ac:dyDescent="0.25">
      <c r="B243" s="8" t="s">
        <v>19</v>
      </c>
      <c r="C243" s="42">
        <f>117580+15630</f>
        <v>133210</v>
      </c>
      <c r="D243" s="42">
        <f>-58651.27+(26982.5+30000)</f>
        <v>-1668.7699999999968</v>
      </c>
      <c r="E243" s="42">
        <f t="shared" ref="E243:E245" si="13">C243+D243</f>
        <v>131541.23000000001</v>
      </c>
      <c r="F243" s="42">
        <f>58928.73+42612.5+30000</f>
        <v>131541.23000000001</v>
      </c>
    </row>
    <row r="244" spans="2:6" ht="18" customHeight="1" x14ac:dyDescent="0.25">
      <c r="B244" s="8" t="s">
        <v>17</v>
      </c>
      <c r="C244" s="42">
        <v>154280</v>
      </c>
      <c r="D244" s="42">
        <v>-145067.93</v>
      </c>
      <c r="E244" s="42">
        <f t="shared" si="13"/>
        <v>9212.070000000007</v>
      </c>
      <c r="F244" s="42">
        <v>9212.07</v>
      </c>
    </row>
    <row r="245" spans="2:6" ht="18" customHeight="1" x14ac:dyDescent="0.25">
      <c r="B245" s="8" t="s">
        <v>18</v>
      </c>
      <c r="C245" s="42">
        <v>52095</v>
      </c>
      <c r="D245" s="42">
        <f>3736.61+590.78</f>
        <v>4327.3900000000003</v>
      </c>
      <c r="E245" s="42">
        <f t="shared" si="13"/>
        <v>56422.39</v>
      </c>
      <c r="F245" s="42">
        <f>55831.61+590.78</f>
        <v>56422.39</v>
      </c>
    </row>
    <row r="246" spans="2:6" ht="18" customHeight="1" x14ac:dyDescent="0.25">
      <c r="B246" s="11" t="s">
        <v>26</v>
      </c>
      <c r="C246" s="44">
        <f>SUM(C247:C248)</f>
        <v>99995</v>
      </c>
      <c r="D246" s="44">
        <f>SUM(D247:D248)</f>
        <v>-45541.79</v>
      </c>
      <c r="E246" s="44">
        <f>SUM(E247:E248)</f>
        <v>54453.21</v>
      </c>
      <c r="F246" s="44">
        <f>SUM(F247:F248)</f>
        <v>54453.21</v>
      </c>
    </row>
    <row r="247" spans="2:6" ht="18" customHeight="1" x14ac:dyDescent="0.25">
      <c r="B247" s="8" t="s">
        <v>27</v>
      </c>
      <c r="C247" s="42">
        <v>39995</v>
      </c>
      <c r="D247" s="42">
        <v>-15540.4</v>
      </c>
      <c r="E247" s="42">
        <f>C247+D247</f>
        <v>24454.6</v>
      </c>
      <c r="F247" s="42">
        <v>24454.6</v>
      </c>
    </row>
    <row r="248" spans="2:6" ht="18" customHeight="1" x14ac:dyDescent="0.25">
      <c r="B248" s="8" t="s">
        <v>28</v>
      </c>
      <c r="C248" s="42">
        <v>60000</v>
      </c>
      <c r="D248" s="42">
        <v>-30001.39</v>
      </c>
      <c r="E248" s="42">
        <f>C248+D248</f>
        <v>29998.61</v>
      </c>
      <c r="F248" s="42">
        <v>29998.61</v>
      </c>
    </row>
    <row r="249" spans="2:6" ht="18" customHeight="1" x14ac:dyDescent="0.25">
      <c r="B249" s="11" t="s">
        <v>13</v>
      </c>
      <c r="C249" s="44">
        <f>SUM(C250:C251)</f>
        <v>180950</v>
      </c>
      <c r="D249" s="44">
        <f>SUM(D250:D251)</f>
        <v>270</v>
      </c>
      <c r="E249" s="44">
        <f>SUM(E250:E251)</f>
        <v>181220</v>
      </c>
      <c r="F249" s="44">
        <f>SUM(F250:F251)</f>
        <v>181220</v>
      </c>
    </row>
    <row r="250" spans="2:6" ht="18" customHeight="1" x14ac:dyDescent="0.25">
      <c r="B250" s="8" t="s">
        <v>9</v>
      </c>
      <c r="C250" s="42">
        <v>50000</v>
      </c>
      <c r="D250" s="42">
        <v>270</v>
      </c>
      <c r="E250" s="42">
        <f>C250+D250</f>
        <v>50270</v>
      </c>
      <c r="F250" s="42">
        <v>50270</v>
      </c>
    </row>
    <row r="251" spans="2:6" ht="18" customHeight="1" x14ac:dyDescent="0.25">
      <c r="B251" s="8" t="s">
        <v>10</v>
      </c>
      <c r="C251" s="42">
        <v>130950</v>
      </c>
      <c r="D251" s="42"/>
      <c r="E251" s="42">
        <f>C251+D251</f>
        <v>130950</v>
      </c>
      <c r="F251" s="42">
        <v>130950</v>
      </c>
    </row>
    <row r="252" spans="2:6" ht="18" customHeight="1" thickBot="1" x14ac:dyDescent="0.3">
      <c r="B252" s="15" t="s">
        <v>14</v>
      </c>
      <c r="C252" s="52">
        <f>20010+2560+5202+17000+50000+1200+28215</f>
        <v>124187</v>
      </c>
      <c r="D252" s="52">
        <f>+(129659.76+15520.32+4272.32+13334.77+789.01+38636.9+15645.56+94193.24+2984.87+550.87+448.5+3821.62+20223.63+40273.69+455.21+239.1+31.56+74696.34+2114.9+15451.2+2752)-(19264.42+12066.86+263.63)</f>
        <v>444500.46000000008</v>
      </c>
      <c r="E252" s="42">
        <f>C252+D252</f>
        <v>568687.46000000008</v>
      </c>
      <c r="F252" s="38">
        <f>4272.32+13334.77+789.01+38636.9+745.58+15645.56+94193.24+2984.87+3110.87+448.5+3821.62+20223.63+40273.69+455.21+5441.1+31.56+4933.14+124696.34+936.37+2114.9+43666.2+2752+129659.76+15520.32</f>
        <v>568687.46</v>
      </c>
    </row>
    <row r="253" spans="2:6" ht="18" customHeight="1" thickBot="1" x14ac:dyDescent="0.35">
      <c r="B253" s="12" t="s">
        <v>22</v>
      </c>
      <c r="C253" s="46">
        <f>SUM(C254:C256)</f>
        <v>146051</v>
      </c>
      <c r="D253" s="46">
        <f>SUM(D254:D256)</f>
        <v>6372.93</v>
      </c>
      <c r="E253" s="46">
        <f>SUM(E254:E256)</f>
        <v>152423.93</v>
      </c>
      <c r="F253" s="46">
        <f>SUM(F254:F256)</f>
        <v>152423.93</v>
      </c>
    </row>
    <row r="254" spans="2:6" ht="18" customHeight="1" x14ac:dyDescent="0.25">
      <c r="B254" s="16" t="s">
        <v>15</v>
      </c>
      <c r="C254" s="47">
        <v>122346</v>
      </c>
      <c r="D254" s="47">
        <v>-369.55</v>
      </c>
      <c r="E254" s="47">
        <f>C254+D254</f>
        <v>121976.45</v>
      </c>
      <c r="F254" s="47">
        <v>121976.45</v>
      </c>
    </row>
    <row r="255" spans="2:6" ht="18" customHeight="1" x14ac:dyDescent="0.25">
      <c r="B255" s="16" t="s">
        <v>37</v>
      </c>
      <c r="C255" s="48"/>
      <c r="D255" s="48">
        <v>467.18</v>
      </c>
      <c r="E255" s="47">
        <f>C255+D255</f>
        <v>467.18</v>
      </c>
      <c r="F255" s="48">
        <v>467.18</v>
      </c>
    </row>
    <row r="256" spans="2:6" ht="18" customHeight="1" thickBot="1" x14ac:dyDescent="0.3">
      <c r="B256" s="17" t="s">
        <v>23</v>
      </c>
      <c r="C256" s="49">
        <v>23705</v>
      </c>
      <c r="D256" s="49">
        <v>6275.3</v>
      </c>
      <c r="E256" s="49">
        <f>C256+D256</f>
        <v>29980.3</v>
      </c>
      <c r="F256" s="49">
        <v>29980.3</v>
      </c>
    </row>
    <row r="257" spans="2:6" ht="18" customHeight="1" thickBot="1" x14ac:dyDescent="0.35">
      <c r="B257" s="12" t="s">
        <v>24</v>
      </c>
      <c r="C257" s="46">
        <f>SUM(C258)</f>
        <v>2550</v>
      </c>
      <c r="D257" s="46">
        <f>SUM(D258)</f>
        <v>848.09</v>
      </c>
      <c r="E257" s="46">
        <f>SUM(E258)</f>
        <v>3398.09</v>
      </c>
      <c r="F257" s="46">
        <f>SUM(F258)</f>
        <v>3398.09</v>
      </c>
    </row>
    <row r="258" spans="2:6" ht="18" customHeight="1" thickBot="1" x14ac:dyDescent="0.3">
      <c r="B258" s="18" t="s">
        <v>25</v>
      </c>
      <c r="C258" s="49">
        <v>2550</v>
      </c>
      <c r="D258" s="49">
        <v>848.09</v>
      </c>
      <c r="E258" s="49">
        <f>C258+D258</f>
        <v>3398.09</v>
      </c>
      <c r="F258" s="49">
        <v>3398.09</v>
      </c>
    </row>
    <row r="259" spans="2:6" ht="18" customHeight="1" thickBot="1" x14ac:dyDescent="0.35">
      <c r="B259" s="12" t="s">
        <v>38</v>
      </c>
      <c r="C259" s="46">
        <f>SUM(C260:C263)</f>
        <v>0</v>
      </c>
      <c r="D259" s="46"/>
      <c r="E259" s="46">
        <f>SUM(E260:E263)</f>
        <v>0</v>
      </c>
      <c r="F259" s="46"/>
    </row>
    <row r="260" spans="2:6" ht="18" customHeight="1" x14ac:dyDescent="0.25">
      <c r="B260" s="16" t="s">
        <v>42</v>
      </c>
      <c r="C260" s="50"/>
      <c r="D260" s="50"/>
      <c r="E260" s="50"/>
      <c r="F260" s="50"/>
    </row>
    <row r="261" spans="2:6" ht="18" customHeight="1" x14ac:dyDescent="0.25">
      <c r="B261" s="25" t="s">
        <v>45</v>
      </c>
      <c r="C261" s="47"/>
      <c r="D261" s="47"/>
      <c r="E261" s="47"/>
      <c r="F261" s="47"/>
    </row>
    <row r="262" spans="2:6" ht="18" customHeight="1" x14ac:dyDescent="0.25">
      <c r="B262" s="25" t="s">
        <v>43</v>
      </c>
      <c r="C262" s="48"/>
      <c r="D262" s="48"/>
      <c r="E262" s="48"/>
      <c r="F262" s="48"/>
    </row>
    <row r="263" spans="2:6" ht="18" customHeight="1" thickBot="1" x14ac:dyDescent="0.3">
      <c r="B263" s="16" t="s">
        <v>39</v>
      </c>
      <c r="C263" s="49"/>
      <c r="D263" s="49"/>
      <c r="E263" s="49"/>
      <c r="F263" s="49"/>
    </row>
    <row r="264" spans="2:6" ht="18" customHeight="1" thickBot="1" x14ac:dyDescent="0.35">
      <c r="B264" s="13" t="s">
        <v>3</v>
      </c>
      <c r="C264" s="3">
        <f>SUM(C223+C231+C253+C257+C259)</f>
        <v>25349119</v>
      </c>
      <c r="D264" s="3">
        <f>SUM(D223+D231+D253+D257+D259)</f>
        <v>667539.2100000002</v>
      </c>
      <c r="E264" s="3">
        <f>SUM(E223+E231+E253+E257+E259)</f>
        <v>26016658.210000001</v>
      </c>
      <c r="F264" s="3">
        <f>SUM(F223+F231+F253+F257+F259)</f>
        <v>26016655.599999998</v>
      </c>
    </row>
    <row r="266" spans="2:6" ht="18" customHeight="1" x14ac:dyDescent="0.2">
      <c r="B266" s="56"/>
      <c r="D266" s="54"/>
      <c r="F266" s="55"/>
    </row>
    <row r="267" spans="2:6" ht="18" customHeight="1" x14ac:dyDescent="0.25">
      <c r="B267" s="33" t="s">
        <v>63</v>
      </c>
      <c r="C267" s="31"/>
      <c r="D267" s="31"/>
    </row>
    <row r="268" spans="2:6" ht="18" customHeight="1" x14ac:dyDescent="0.25">
      <c r="B268" s="34" t="s">
        <v>64</v>
      </c>
      <c r="C268" s="31"/>
      <c r="D268" s="31"/>
    </row>
    <row r="269" spans="2:6" ht="18" customHeight="1" thickBot="1" x14ac:dyDescent="0.25">
      <c r="B269" s="1"/>
      <c r="C269" s="1"/>
      <c r="D269" s="1"/>
    </row>
    <row r="270" spans="2:6" ht="18" customHeight="1" x14ac:dyDescent="0.2">
      <c r="B270" s="114" t="s">
        <v>52</v>
      </c>
      <c r="C270" s="124" t="s">
        <v>48</v>
      </c>
      <c r="D270" s="124" t="s">
        <v>46</v>
      </c>
      <c r="E270" s="124" t="s">
        <v>44</v>
      </c>
      <c r="F270" s="124" t="s">
        <v>47</v>
      </c>
    </row>
    <row r="271" spans="2:6" ht="18" customHeight="1" x14ac:dyDescent="0.2">
      <c r="B271" s="115"/>
      <c r="C271" s="125"/>
      <c r="D271" s="125"/>
      <c r="E271" s="125"/>
      <c r="F271" s="125"/>
    </row>
    <row r="272" spans="2:6" ht="18" customHeight="1" thickBot="1" x14ac:dyDescent="0.25">
      <c r="B272" s="116"/>
      <c r="C272" s="126"/>
      <c r="D272" s="126"/>
      <c r="E272" s="126"/>
      <c r="F272" s="126"/>
    </row>
    <row r="273" spans="2:6" ht="18" customHeight="1" thickBot="1" x14ac:dyDescent="0.35">
      <c r="B273" s="12" t="s">
        <v>38</v>
      </c>
      <c r="C273" s="46">
        <f>SUM(C274:C277)</f>
        <v>100</v>
      </c>
      <c r="D273" s="46">
        <f>SUM(D274:D277)</f>
        <v>0</v>
      </c>
      <c r="E273" s="46">
        <f>SUM(E274:E277)</f>
        <v>100</v>
      </c>
      <c r="F273" s="46">
        <f>SUM(F274:F277)</f>
        <v>0</v>
      </c>
    </row>
    <row r="274" spans="2:6" ht="18" customHeight="1" thickBot="1" x14ac:dyDescent="0.35">
      <c r="B274" s="16" t="s">
        <v>42</v>
      </c>
      <c r="C274" s="50"/>
      <c r="D274" s="50"/>
      <c r="E274" s="46">
        <f t="shared" ref="E274:E277" si="14">+C274-D274</f>
        <v>0</v>
      </c>
      <c r="F274" s="50"/>
    </row>
    <row r="275" spans="2:6" ht="18" customHeight="1" thickBot="1" x14ac:dyDescent="0.35">
      <c r="B275" s="25" t="s">
        <v>45</v>
      </c>
      <c r="C275" s="47"/>
      <c r="D275" s="47"/>
      <c r="E275" s="46">
        <f t="shared" si="14"/>
        <v>0</v>
      </c>
      <c r="F275" s="47"/>
    </row>
    <row r="276" spans="2:6" ht="18" customHeight="1" thickBot="1" x14ac:dyDescent="0.35">
      <c r="B276" s="25" t="s">
        <v>43</v>
      </c>
      <c r="C276" s="48"/>
      <c r="D276" s="48"/>
      <c r="E276" s="46">
        <f t="shared" si="14"/>
        <v>0</v>
      </c>
      <c r="F276" s="48"/>
    </row>
    <row r="277" spans="2:6" ht="18" customHeight="1" thickBot="1" x14ac:dyDescent="0.3">
      <c r="B277" s="16" t="s">
        <v>65</v>
      </c>
      <c r="C277" s="49">
        <v>100</v>
      </c>
      <c r="D277" s="49"/>
      <c r="E277" s="49">
        <f t="shared" si="14"/>
        <v>100</v>
      </c>
      <c r="F277" s="49"/>
    </row>
    <row r="278" spans="2:6" ht="18" customHeight="1" thickBot="1" x14ac:dyDescent="0.35">
      <c r="B278" s="13" t="s">
        <v>3</v>
      </c>
      <c r="C278" s="3">
        <f>+C273</f>
        <v>100</v>
      </c>
      <c r="D278" s="3">
        <f>+D273</f>
        <v>0</v>
      </c>
      <c r="E278" s="3">
        <f>+E273</f>
        <v>100</v>
      </c>
      <c r="F278" s="3">
        <f>+F273</f>
        <v>0</v>
      </c>
    </row>
  </sheetData>
  <mergeCells count="82">
    <mergeCell ref="B270:B272"/>
    <mergeCell ref="C270:C272"/>
    <mergeCell ref="D270:D272"/>
    <mergeCell ref="E270:E272"/>
    <mergeCell ref="F270:F272"/>
    <mergeCell ref="B198:B200"/>
    <mergeCell ref="C198:C200"/>
    <mergeCell ref="D198:D200"/>
    <mergeCell ref="E198:E200"/>
    <mergeCell ref="F198:F200"/>
    <mergeCell ref="B231:B232"/>
    <mergeCell ref="C231:C232"/>
    <mergeCell ref="D231:D232"/>
    <mergeCell ref="E231:E232"/>
    <mergeCell ref="F231:F232"/>
    <mergeCell ref="B223:B224"/>
    <mergeCell ref="C223:C224"/>
    <mergeCell ref="D223:D224"/>
    <mergeCell ref="E223:E224"/>
    <mergeCell ref="F223:F224"/>
    <mergeCell ref="A215:E215"/>
    <mergeCell ref="B216:C216"/>
    <mergeCell ref="E216:F216"/>
    <mergeCell ref="B220:B222"/>
    <mergeCell ref="C220:C222"/>
    <mergeCell ref="D220:D222"/>
    <mergeCell ref="E220:E222"/>
    <mergeCell ref="F220:F222"/>
    <mergeCell ref="B159:B160"/>
    <mergeCell ref="C159:C160"/>
    <mergeCell ref="D159:D160"/>
    <mergeCell ref="E159:E160"/>
    <mergeCell ref="F159:F160"/>
    <mergeCell ref="B151:B152"/>
    <mergeCell ref="C151:C152"/>
    <mergeCell ref="D151:D152"/>
    <mergeCell ref="E151:E152"/>
    <mergeCell ref="F151:F152"/>
    <mergeCell ref="A143:E143"/>
    <mergeCell ref="B144:C144"/>
    <mergeCell ref="E144:F144"/>
    <mergeCell ref="B148:B150"/>
    <mergeCell ref="C148:C150"/>
    <mergeCell ref="D148:D150"/>
    <mergeCell ref="E148:E150"/>
    <mergeCell ref="F148:F150"/>
    <mergeCell ref="B88:B89"/>
    <mergeCell ref="C88:C89"/>
    <mergeCell ref="D88:D89"/>
    <mergeCell ref="E88:E89"/>
    <mergeCell ref="F88:F89"/>
    <mergeCell ref="B80:B81"/>
    <mergeCell ref="C80:C81"/>
    <mergeCell ref="D80:D81"/>
    <mergeCell ref="E80:E81"/>
    <mergeCell ref="F80:F81"/>
    <mergeCell ref="B77:B79"/>
    <mergeCell ref="C77:C79"/>
    <mergeCell ref="D77:D79"/>
    <mergeCell ref="E77:E79"/>
    <mergeCell ref="F77:F79"/>
    <mergeCell ref="A72:E72"/>
    <mergeCell ref="B73:C73"/>
    <mergeCell ref="E73:F73"/>
    <mergeCell ref="E14:E15"/>
    <mergeCell ref="E22:E23"/>
    <mergeCell ref="A6:E6"/>
    <mergeCell ref="B7:C7"/>
    <mergeCell ref="B11:B13"/>
    <mergeCell ref="C11:C13"/>
    <mergeCell ref="C22:C23"/>
    <mergeCell ref="B14:B15"/>
    <mergeCell ref="B22:B23"/>
    <mergeCell ref="C14:C15"/>
    <mergeCell ref="D11:D13"/>
    <mergeCell ref="E7:F7"/>
    <mergeCell ref="F11:F13"/>
    <mergeCell ref="D14:D15"/>
    <mergeCell ref="D22:D23"/>
    <mergeCell ref="F14:F15"/>
    <mergeCell ref="F22:F23"/>
    <mergeCell ref="E11:E13"/>
  </mergeCells>
  <phoneticPr fontId="10" type="noConversion"/>
  <pageMargins left="0.39370078740157483" right="0" top="0" bottom="0" header="0" footer="0"/>
  <pageSetup scale="60" orientation="portrait" r:id="rId1"/>
  <headerFooter alignWithMargins="0"/>
  <ignoredErrors>
    <ignoredError sqref="C40:D40" formulaRange="1"/>
    <ignoredError sqref="E29 E37 E48" formula="1"/>
    <ignoredError sqref="E4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topLeftCell="C1" workbookViewId="0">
      <selection activeCell="I7" sqref="I7"/>
    </sheetView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4" width="23.85546875" customWidth="1"/>
    <col min="5" max="5" width="23.85546875" style="38" customWidth="1"/>
    <col min="6" max="6" width="23" style="38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56</v>
      </c>
      <c r="B5" s="32"/>
      <c r="C5" s="32"/>
      <c r="D5" s="32"/>
      <c r="E5" s="39"/>
    </row>
    <row r="6" spans="1:6" ht="21.75" customHeight="1" x14ac:dyDescent="0.35">
      <c r="A6" s="112" t="s">
        <v>51</v>
      </c>
      <c r="B6" s="112"/>
      <c r="C6" s="112"/>
      <c r="D6" s="112"/>
      <c r="E6" s="112"/>
    </row>
    <row r="7" spans="1:6" ht="32.25" customHeight="1" x14ac:dyDescent="0.4">
      <c r="B7" s="113"/>
      <c r="C7" s="113"/>
      <c r="D7" s="36"/>
      <c r="E7" s="112" t="s">
        <v>49</v>
      </c>
      <c r="F7" s="112"/>
    </row>
    <row r="8" spans="1:6" ht="18" customHeight="1" x14ac:dyDescent="0.25">
      <c r="B8" s="33" t="s">
        <v>0</v>
      </c>
      <c r="C8" s="31"/>
      <c r="D8" s="31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114" t="s">
        <v>52</v>
      </c>
      <c r="C11" s="117" t="s">
        <v>48</v>
      </c>
      <c r="D11" s="117" t="s">
        <v>46</v>
      </c>
      <c r="E11" s="124" t="s">
        <v>44</v>
      </c>
      <c r="F11" s="124" t="s">
        <v>47</v>
      </c>
    </row>
    <row r="12" spans="1:6" ht="18" customHeight="1" x14ac:dyDescent="0.2">
      <c r="B12" s="115"/>
      <c r="C12" s="118"/>
      <c r="D12" s="118"/>
      <c r="E12" s="125"/>
      <c r="F12" s="125"/>
    </row>
    <row r="13" spans="1:6" ht="6" customHeight="1" thickBot="1" x14ac:dyDescent="0.25">
      <c r="B13" s="116"/>
      <c r="C13" s="119"/>
      <c r="D13" s="119"/>
      <c r="E13" s="126"/>
      <c r="F13" s="126"/>
    </row>
    <row r="14" spans="1:6" ht="18" customHeight="1" x14ac:dyDescent="0.2">
      <c r="B14" s="122" t="s">
        <v>4</v>
      </c>
      <c r="C14" s="120">
        <f>SUM(C16:C21)</f>
        <v>1393235</v>
      </c>
      <c r="D14" s="120">
        <f>SUM(D16:D21)</f>
        <v>-156457.50999999998</v>
      </c>
      <c r="E14" s="127">
        <f>SUM(E16:E21)</f>
        <v>1236777.4899999998</v>
      </c>
      <c r="F14" s="127">
        <f>SUM(F16:F21)</f>
        <v>1236777.4899999998</v>
      </c>
    </row>
    <row r="15" spans="1:6" ht="18" customHeight="1" thickBot="1" x14ac:dyDescent="0.25">
      <c r="B15" s="123"/>
      <c r="C15" s="121"/>
      <c r="D15" s="121"/>
      <c r="E15" s="128"/>
      <c r="F15" s="128"/>
    </row>
    <row r="16" spans="1:6" ht="18" customHeight="1" x14ac:dyDescent="0.25">
      <c r="B16" s="14" t="s">
        <v>31</v>
      </c>
      <c r="C16" s="40">
        <v>1224170</v>
      </c>
      <c r="D16" s="40">
        <v>-133961.79999999999</v>
      </c>
      <c r="E16" s="40">
        <f t="shared" ref="E16:E21" si="0">C16+D16</f>
        <v>1090208.2</v>
      </c>
      <c r="F16" s="40">
        <v>1090208.2</v>
      </c>
    </row>
    <row r="17" spans="2:6" ht="18" customHeight="1" x14ac:dyDescent="0.25">
      <c r="B17" s="7" t="s">
        <v>32</v>
      </c>
      <c r="C17" s="40"/>
      <c r="D17" s="40"/>
      <c r="E17" s="40">
        <f t="shared" si="0"/>
        <v>0</v>
      </c>
      <c r="F17" s="40"/>
    </row>
    <row r="18" spans="2:6" ht="18" customHeight="1" x14ac:dyDescent="0.25">
      <c r="B18" s="7" t="s">
        <v>40</v>
      </c>
      <c r="C18" s="40"/>
      <c r="D18" s="40"/>
      <c r="E18" s="40">
        <f t="shared" si="0"/>
        <v>0</v>
      </c>
      <c r="F18" s="40"/>
    </row>
    <row r="19" spans="2:6" ht="18" customHeight="1" x14ac:dyDescent="0.25">
      <c r="B19" s="7" t="s">
        <v>33</v>
      </c>
      <c r="C19" s="40">
        <v>111935</v>
      </c>
      <c r="D19" s="40">
        <v>-18067.349999999999</v>
      </c>
      <c r="E19" s="40">
        <f t="shared" si="0"/>
        <v>93867.65</v>
      </c>
      <c r="F19" s="40">
        <v>93867.65</v>
      </c>
    </row>
    <row r="20" spans="2:6" ht="18" customHeight="1" x14ac:dyDescent="0.25">
      <c r="B20" s="8" t="s">
        <v>34</v>
      </c>
      <c r="C20" s="40">
        <v>57130</v>
      </c>
      <c r="D20" s="40">
        <v>-4428.3599999999997</v>
      </c>
      <c r="E20" s="40">
        <f t="shared" si="0"/>
        <v>52701.64</v>
      </c>
      <c r="F20" s="40">
        <v>52701.64</v>
      </c>
    </row>
    <row r="21" spans="2:6" ht="18" customHeight="1" thickBot="1" x14ac:dyDescent="0.3">
      <c r="B21" s="23" t="s">
        <v>35</v>
      </c>
      <c r="C21" s="51"/>
      <c r="D21" s="40"/>
      <c r="E21" s="40">
        <f t="shared" si="0"/>
        <v>0</v>
      </c>
      <c r="F21" s="51">
        <v>0</v>
      </c>
    </row>
    <row r="22" spans="2:6" ht="18" customHeight="1" x14ac:dyDescent="0.2">
      <c r="B22" s="122" t="s">
        <v>29</v>
      </c>
      <c r="C22" s="127">
        <f>C24+C29+C31+C37+C40+C43</f>
        <v>47033</v>
      </c>
      <c r="D22" s="127">
        <f t="shared" ref="D22:F22" si="1">D24+D29+D31+D37+D40+D43</f>
        <v>90394.819999999992</v>
      </c>
      <c r="E22" s="127">
        <f t="shared" si="1"/>
        <v>137427.81999999998</v>
      </c>
      <c r="F22" s="127">
        <f t="shared" si="1"/>
        <v>137427.81999999998</v>
      </c>
    </row>
    <row r="23" spans="2:6" ht="18" customHeight="1" thickBot="1" x14ac:dyDescent="0.25">
      <c r="B23" s="123"/>
      <c r="C23" s="128"/>
      <c r="D23" s="128"/>
      <c r="E23" s="128"/>
      <c r="F23" s="128"/>
    </row>
    <row r="24" spans="2:6" ht="18" customHeight="1" x14ac:dyDescent="0.25">
      <c r="B24" s="6" t="s">
        <v>11</v>
      </c>
      <c r="C24" s="41">
        <f>SUM(C25:C28)</f>
        <v>300</v>
      </c>
      <c r="D24" s="41">
        <f>SUM(D25:D28)</f>
        <v>123817.17</v>
      </c>
      <c r="E24" s="41">
        <f>SUM(E25:E28)</f>
        <v>124117.17</v>
      </c>
      <c r="F24" s="41">
        <f>SUM(F25:F28)</f>
        <v>124117.17</v>
      </c>
    </row>
    <row r="25" spans="2:6" ht="18" customHeight="1" x14ac:dyDescent="0.25">
      <c r="B25" s="7" t="s">
        <v>5</v>
      </c>
      <c r="C25" s="42"/>
      <c r="D25" s="42">
        <v>62543.88</v>
      </c>
      <c r="E25" s="42">
        <f>C25+D25</f>
        <v>62543.88</v>
      </c>
      <c r="F25" s="42">
        <v>62543.88</v>
      </c>
    </row>
    <row r="26" spans="2:6" ht="18" customHeight="1" x14ac:dyDescent="0.25">
      <c r="B26" s="7" t="s">
        <v>6</v>
      </c>
      <c r="C26" s="42"/>
      <c r="D26" s="42">
        <v>61376.62</v>
      </c>
      <c r="E26" s="42">
        <f>C26+D26</f>
        <v>61376.62</v>
      </c>
      <c r="F26" s="42">
        <v>61376.62</v>
      </c>
    </row>
    <row r="27" spans="2:6" ht="18" customHeight="1" x14ac:dyDescent="0.25">
      <c r="B27" s="7" t="s">
        <v>7</v>
      </c>
      <c r="C27" s="42"/>
      <c r="D27" s="42">
        <v>196.67</v>
      </c>
      <c r="E27" s="42">
        <f>C27+D27</f>
        <v>196.67</v>
      </c>
      <c r="F27" s="42">
        <v>196.67</v>
      </c>
    </row>
    <row r="28" spans="2:6" ht="18" customHeight="1" x14ac:dyDescent="0.25">
      <c r="B28" s="8" t="s">
        <v>8</v>
      </c>
      <c r="C28" s="42">
        <v>300</v>
      </c>
      <c r="D28" s="42">
        <v>-300</v>
      </c>
      <c r="E28" s="42">
        <f>C28+D28</f>
        <v>0</v>
      </c>
      <c r="F28" s="42"/>
    </row>
    <row r="29" spans="2:6" ht="18" customHeight="1" x14ac:dyDescent="0.25">
      <c r="B29" s="9" t="s">
        <v>12</v>
      </c>
      <c r="C29" s="43">
        <f>SUM(C30)</f>
        <v>0</v>
      </c>
      <c r="D29" s="43">
        <f>SUM(D30)</f>
        <v>0</v>
      </c>
      <c r="E29" s="43">
        <f>SUM(E30)</f>
        <v>0</v>
      </c>
      <c r="F29" s="43"/>
    </row>
    <row r="30" spans="2:6" ht="18" customHeight="1" x14ac:dyDescent="0.25">
      <c r="B30" s="10" t="s">
        <v>16</v>
      </c>
      <c r="C30" s="42"/>
      <c r="D30" s="42"/>
      <c r="E30" s="42">
        <f>C30+D30</f>
        <v>0</v>
      </c>
      <c r="F30" s="42"/>
    </row>
    <row r="31" spans="2:6" ht="18" customHeight="1" x14ac:dyDescent="0.25">
      <c r="B31" s="11" t="s">
        <v>21</v>
      </c>
      <c r="C31" s="44">
        <f>SUM(C32:C36)</f>
        <v>6429</v>
      </c>
      <c r="D31" s="44">
        <f>SUM(D32:D36)</f>
        <v>-3665.74</v>
      </c>
      <c r="E31" s="44">
        <f>SUM(E32:E36)</f>
        <v>2763.2599999999998</v>
      </c>
      <c r="F31" s="44">
        <f>SUM(F32:F36)</f>
        <v>2763.2599999999998</v>
      </c>
    </row>
    <row r="32" spans="2:6" ht="18" customHeight="1" x14ac:dyDescent="0.25">
      <c r="B32" s="8" t="s">
        <v>20</v>
      </c>
      <c r="C32" s="42">
        <v>4806</v>
      </c>
      <c r="D32" s="42">
        <v>-4806</v>
      </c>
      <c r="E32" s="42">
        <f>C32+D32</f>
        <v>0</v>
      </c>
      <c r="F32" s="42"/>
    </row>
    <row r="33" spans="2:6" ht="18" customHeight="1" x14ac:dyDescent="0.25">
      <c r="B33" s="8" t="s">
        <v>30</v>
      </c>
      <c r="C33" s="42"/>
      <c r="D33" s="42">
        <v>641.22</v>
      </c>
      <c r="E33" s="42">
        <f>C33+D33</f>
        <v>641.22</v>
      </c>
      <c r="F33" s="42">
        <v>641.22</v>
      </c>
    </row>
    <row r="34" spans="2:6" ht="18" customHeight="1" x14ac:dyDescent="0.25">
      <c r="B34" s="8" t="s">
        <v>19</v>
      </c>
      <c r="C34" s="42"/>
      <c r="D34" s="42">
        <v>220.59</v>
      </c>
      <c r="E34" s="42">
        <f t="shared" ref="E34:E36" si="2">C34+D34</f>
        <v>220.59</v>
      </c>
      <c r="F34" s="42">
        <v>220.59</v>
      </c>
    </row>
    <row r="35" spans="2:6" ht="18" customHeight="1" x14ac:dyDescent="0.25">
      <c r="B35" s="8" t="s">
        <v>17</v>
      </c>
      <c r="C35" s="42">
        <v>1623</v>
      </c>
      <c r="D35" s="42">
        <v>53</v>
      </c>
      <c r="E35" s="42">
        <f t="shared" si="2"/>
        <v>1676</v>
      </c>
      <c r="F35" s="42">
        <v>1676</v>
      </c>
    </row>
    <row r="36" spans="2:6" ht="18" customHeight="1" x14ac:dyDescent="0.25">
      <c r="B36" s="8" t="s">
        <v>18</v>
      </c>
      <c r="C36" s="42"/>
      <c r="D36" s="42">
        <v>225.45</v>
      </c>
      <c r="E36" s="42">
        <f t="shared" si="2"/>
        <v>225.45</v>
      </c>
      <c r="F36" s="42">
        <v>225.45</v>
      </c>
    </row>
    <row r="37" spans="2:6" ht="18" customHeight="1" x14ac:dyDescent="0.25">
      <c r="B37" s="11" t="s">
        <v>26</v>
      </c>
      <c r="C37" s="44">
        <f>SUM(C38:C39)</f>
        <v>9981</v>
      </c>
      <c r="D37" s="44">
        <f>SUM(D38:D39)</f>
        <v>-8340.91</v>
      </c>
      <c r="E37" s="44">
        <f>SUM(E38:E39)</f>
        <v>1640.0899999999997</v>
      </c>
      <c r="F37" s="44">
        <f>SUM(F38:F39)</f>
        <v>1640.0900000000001</v>
      </c>
    </row>
    <row r="38" spans="2:6" ht="18" customHeight="1" x14ac:dyDescent="0.25">
      <c r="B38" s="8" t="s">
        <v>27</v>
      </c>
      <c r="C38" s="42">
        <v>2481</v>
      </c>
      <c r="D38" s="42">
        <v>-1656.1</v>
      </c>
      <c r="E38" s="42">
        <f>C38+D38</f>
        <v>824.90000000000009</v>
      </c>
      <c r="F38" s="42">
        <v>824.9</v>
      </c>
    </row>
    <row r="39" spans="2:6" ht="18" customHeight="1" x14ac:dyDescent="0.25">
      <c r="B39" s="8" t="s">
        <v>28</v>
      </c>
      <c r="C39" s="42">
        <v>7500</v>
      </c>
      <c r="D39" s="42">
        <v>-6684.81</v>
      </c>
      <c r="E39" s="42">
        <f>C39+D39</f>
        <v>815.1899999999996</v>
      </c>
      <c r="F39" s="42">
        <v>815.19</v>
      </c>
    </row>
    <row r="40" spans="2:6" ht="18" customHeight="1" x14ac:dyDescent="0.25">
      <c r="B40" s="11" t="s">
        <v>13</v>
      </c>
      <c r="C40" s="44">
        <f>SUM(C41:C42)</f>
        <v>21000</v>
      </c>
      <c r="D40" s="44">
        <f>SUM(D41:D42)</f>
        <v>-21000</v>
      </c>
      <c r="E40" s="44">
        <f>SUM(E41:E42)</f>
        <v>0</v>
      </c>
      <c r="F40" s="44"/>
    </row>
    <row r="41" spans="2:6" ht="18" customHeight="1" x14ac:dyDescent="0.25">
      <c r="B41" s="8" t="s">
        <v>9</v>
      </c>
      <c r="C41" s="42">
        <v>6450</v>
      </c>
      <c r="D41" s="42">
        <v>-6450</v>
      </c>
      <c r="E41" s="42">
        <f>C41+D41</f>
        <v>0</v>
      </c>
      <c r="F41" s="42"/>
    </row>
    <row r="42" spans="2:6" ht="18" customHeight="1" x14ac:dyDescent="0.25">
      <c r="B42" s="8" t="s">
        <v>10</v>
      </c>
      <c r="C42" s="42">
        <v>14550</v>
      </c>
      <c r="D42" s="42">
        <v>-14550</v>
      </c>
      <c r="E42" s="42">
        <f>C42+D42</f>
        <v>0</v>
      </c>
      <c r="F42" s="42"/>
    </row>
    <row r="43" spans="2:6" ht="18" customHeight="1" thickBot="1" x14ac:dyDescent="0.3">
      <c r="B43" s="15" t="s">
        <v>14</v>
      </c>
      <c r="C43" s="52">
        <f>1200+498+7625</f>
        <v>9323</v>
      </c>
      <c r="D43" s="52">
        <f>(-1200-198-6496.58)+(5+417.43+80+33.4+30.51+776+142.5+94.5+84.3+5815.24)</f>
        <v>-415.69999999999982</v>
      </c>
      <c r="E43" s="45">
        <f>C43+D43</f>
        <v>8907.2999999999993</v>
      </c>
      <c r="F43" s="52">
        <f>5+417.43+80+33.4+30.51+776+142.5+300+94.5+1128.42+84.3+5815.24</f>
        <v>8907.2999999999993</v>
      </c>
    </row>
    <row r="44" spans="2:6" ht="30.75" customHeight="1" thickBot="1" x14ac:dyDescent="0.35">
      <c r="B44" s="12" t="s">
        <v>22</v>
      </c>
      <c r="C44" s="46">
        <f>SUM(C45:C47)</f>
        <v>0</v>
      </c>
      <c r="D44" s="46">
        <f>SUM(D45:D47)</f>
        <v>12.66</v>
      </c>
      <c r="E44" s="46">
        <f>SUM(E45:E47)</f>
        <v>12.66</v>
      </c>
      <c r="F44" s="46">
        <f>SUM(F45:F47)</f>
        <v>12.66</v>
      </c>
    </row>
    <row r="45" spans="2:6" ht="18" customHeight="1" x14ac:dyDescent="0.25">
      <c r="B45" s="16" t="s">
        <v>15</v>
      </c>
      <c r="C45" s="47"/>
      <c r="D45" s="47">
        <v>12.66</v>
      </c>
      <c r="E45" s="47">
        <f>C45+D45</f>
        <v>12.66</v>
      </c>
      <c r="F45" s="47">
        <v>12.66</v>
      </c>
    </row>
    <row r="46" spans="2:6" ht="18" customHeight="1" x14ac:dyDescent="0.25">
      <c r="B46" s="16" t="s">
        <v>37</v>
      </c>
      <c r="C46" s="48"/>
      <c r="D46" s="48"/>
      <c r="E46" s="48"/>
      <c r="F46" s="48"/>
    </row>
    <row r="47" spans="2:6" ht="18" customHeight="1" thickBot="1" x14ac:dyDescent="0.3">
      <c r="B47" s="17" t="s">
        <v>23</v>
      </c>
      <c r="C47" s="49"/>
      <c r="D47" s="49"/>
      <c r="E47" s="49">
        <f>C47+D47</f>
        <v>0</v>
      </c>
      <c r="F47" s="49"/>
    </row>
    <row r="48" spans="2:6" ht="30.75" customHeight="1" thickBot="1" x14ac:dyDescent="0.35">
      <c r="B48" s="12" t="s">
        <v>24</v>
      </c>
      <c r="C48" s="46">
        <f>SUM(C49)</f>
        <v>0</v>
      </c>
      <c r="D48" s="46">
        <f>SUM(D49)</f>
        <v>0</v>
      </c>
      <c r="E48" s="46">
        <f>SUM(E49)</f>
        <v>0</v>
      </c>
      <c r="F48" s="46">
        <f>SUM(F49)</f>
        <v>0</v>
      </c>
    </row>
    <row r="49" spans="2:6" ht="21.75" customHeight="1" thickBot="1" x14ac:dyDescent="0.3">
      <c r="B49" s="18" t="s">
        <v>25</v>
      </c>
      <c r="C49" s="49"/>
      <c r="D49" s="49"/>
      <c r="E49" s="49">
        <f>C49+D49</f>
        <v>0</v>
      </c>
      <c r="F49" s="49"/>
    </row>
    <row r="50" spans="2:6" ht="30.75" customHeight="1" thickBot="1" x14ac:dyDescent="0.35">
      <c r="B50" s="12" t="s">
        <v>38</v>
      </c>
      <c r="C50" s="46">
        <f>SUM(C51:C54)</f>
        <v>0</v>
      </c>
      <c r="D50" s="46"/>
      <c r="E50" s="46">
        <f>SUM(E51:E54)</f>
        <v>0</v>
      </c>
      <c r="F50" s="46"/>
    </row>
    <row r="51" spans="2:6" ht="21.75" customHeight="1" x14ac:dyDescent="0.25">
      <c r="B51" s="16" t="s">
        <v>42</v>
      </c>
      <c r="C51" s="50"/>
      <c r="D51" s="50"/>
      <c r="E51" s="50"/>
      <c r="F51" s="50"/>
    </row>
    <row r="52" spans="2:6" ht="21.75" customHeight="1" x14ac:dyDescent="0.25">
      <c r="B52" s="25" t="s">
        <v>45</v>
      </c>
      <c r="C52" s="29"/>
      <c r="D52" s="29"/>
      <c r="E52" s="47"/>
      <c r="F52" s="47"/>
    </row>
    <row r="53" spans="2:6" ht="21.75" customHeight="1" x14ac:dyDescent="0.25">
      <c r="B53" s="25" t="s">
        <v>43</v>
      </c>
      <c r="C53" s="4"/>
      <c r="D53" s="4"/>
      <c r="E53" s="48"/>
      <c r="F53" s="48"/>
    </row>
    <row r="54" spans="2:6" ht="21.75" customHeight="1" thickBot="1" x14ac:dyDescent="0.3">
      <c r="B54" s="16" t="s">
        <v>39</v>
      </c>
      <c r="C54" s="30"/>
      <c r="D54" s="30"/>
      <c r="E54" s="49"/>
      <c r="F54" s="49"/>
    </row>
    <row r="55" spans="2:6" ht="36" customHeight="1" thickBot="1" x14ac:dyDescent="0.35">
      <c r="B55" s="13" t="s">
        <v>3</v>
      </c>
      <c r="C55" s="3">
        <f>SUM(C14+C22+C44+C48+C50)</f>
        <v>1440268</v>
      </c>
      <c r="D55" s="3">
        <f>SUM(D14+D22+D44+D48+D50)</f>
        <v>-66050.029999999984</v>
      </c>
      <c r="E55" s="3">
        <f>SUM(E14+E22+E44+E48+E50)</f>
        <v>1374217.9699999997</v>
      </c>
      <c r="F55" s="3">
        <f>SUM(F14+F22+F44+F48+F50)</f>
        <v>1374217.9699999997</v>
      </c>
    </row>
    <row r="57" spans="2:6" ht="18" customHeight="1" x14ac:dyDescent="0.2">
      <c r="D57" s="54"/>
      <c r="F57" s="57"/>
    </row>
    <row r="67" spans="1:6" ht="18" customHeight="1" x14ac:dyDescent="0.2">
      <c r="A67" s="2" t="s">
        <v>36</v>
      </c>
      <c r="B67" s="2"/>
    </row>
    <row r="68" spans="1:6" ht="18" customHeight="1" x14ac:dyDescent="0.2">
      <c r="A68" s="2" t="s">
        <v>1</v>
      </c>
      <c r="B68" s="2"/>
    </row>
    <row r="69" spans="1:6" ht="18" customHeight="1" x14ac:dyDescent="0.2">
      <c r="A69" s="2" t="s">
        <v>2</v>
      </c>
      <c r="B69" s="2"/>
    </row>
    <row r="70" spans="1:6" ht="18" customHeight="1" x14ac:dyDescent="0.2">
      <c r="B70" s="2"/>
    </row>
    <row r="71" spans="1:6" ht="18" customHeight="1" x14ac:dyDescent="0.35">
      <c r="A71" s="32" t="s">
        <v>56</v>
      </c>
      <c r="B71" s="32"/>
      <c r="C71" s="32"/>
      <c r="D71" s="32"/>
      <c r="E71" s="39"/>
    </row>
    <row r="72" spans="1:6" ht="18" customHeight="1" x14ac:dyDescent="0.35">
      <c r="A72" s="112" t="s">
        <v>51</v>
      </c>
      <c r="B72" s="112"/>
      <c r="C72" s="112"/>
      <c r="D72" s="112"/>
      <c r="E72" s="112"/>
    </row>
    <row r="73" spans="1:6" ht="18" customHeight="1" x14ac:dyDescent="0.4">
      <c r="B73" s="113"/>
      <c r="C73" s="113"/>
      <c r="D73" s="36"/>
      <c r="E73" s="112" t="s">
        <v>50</v>
      </c>
      <c r="F73" s="112"/>
    </row>
    <row r="74" spans="1:6" ht="18" customHeight="1" x14ac:dyDescent="0.25">
      <c r="B74" s="33" t="s">
        <v>0</v>
      </c>
      <c r="C74" s="31"/>
      <c r="D74" s="31"/>
    </row>
    <row r="75" spans="1:6" ht="18" customHeight="1" x14ac:dyDescent="0.25">
      <c r="A75" s="31"/>
      <c r="B75" s="34" t="s">
        <v>41</v>
      </c>
      <c r="C75" s="31"/>
      <c r="D75" s="31"/>
    </row>
    <row r="76" spans="1:6" ht="18" customHeight="1" thickBot="1" x14ac:dyDescent="0.25">
      <c r="B76" s="1"/>
      <c r="C76" s="1"/>
      <c r="D76" s="1"/>
    </row>
    <row r="77" spans="1:6" ht="18" customHeight="1" x14ac:dyDescent="0.2">
      <c r="B77" s="114" t="s">
        <v>52</v>
      </c>
      <c r="C77" s="117" t="s">
        <v>48</v>
      </c>
      <c r="D77" s="117" t="s">
        <v>46</v>
      </c>
      <c r="E77" s="124" t="s">
        <v>44</v>
      </c>
      <c r="F77" s="124" t="s">
        <v>47</v>
      </c>
    </row>
    <row r="78" spans="1:6" ht="18" customHeight="1" x14ac:dyDescent="0.2">
      <c r="B78" s="115"/>
      <c r="C78" s="118"/>
      <c r="D78" s="118"/>
      <c r="E78" s="125"/>
      <c r="F78" s="125"/>
    </row>
    <row r="79" spans="1:6" ht="18" customHeight="1" thickBot="1" x14ac:dyDescent="0.25">
      <c r="B79" s="116"/>
      <c r="C79" s="119"/>
      <c r="D79" s="119"/>
      <c r="E79" s="126"/>
      <c r="F79" s="126"/>
    </row>
    <row r="80" spans="1:6" ht="18" customHeight="1" x14ac:dyDescent="0.2">
      <c r="B80" s="122" t="s">
        <v>4</v>
      </c>
      <c r="C80" s="120">
        <f>SUM(C82:C87)</f>
        <v>4179705</v>
      </c>
      <c r="D80" s="120">
        <f>SUM(D82:D87)</f>
        <v>-316840.97000000003</v>
      </c>
      <c r="E80" s="127">
        <f>SUM(E82:E87)</f>
        <v>3862864.0300000003</v>
      </c>
      <c r="F80" s="127">
        <f>SUM(F82:F87)</f>
        <v>3862864.0300000003</v>
      </c>
    </row>
    <row r="81" spans="2:6" ht="18" customHeight="1" thickBot="1" x14ac:dyDescent="0.25">
      <c r="B81" s="123"/>
      <c r="C81" s="121"/>
      <c r="D81" s="121"/>
      <c r="E81" s="128"/>
      <c r="F81" s="128"/>
    </row>
    <row r="82" spans="2:6" ht="18" customHeight="1" x14ac:dyDescent="0.25">
      <c r="B82" s="14" t="s">
        <v>31</v>
      </c>
      <c r="C82" s="40">
        <v>3672510</v>
      </c>
      <c r="D82" s="40">
        <v>-297649.63</v>
      </c>
      <c r="E82" s="40">
        <f t="shared" ref="E82:E87" si="3">C82+D82</f>
        <v>3374860.37</v>
      </c>
      <c r="F82" s="40">
        <v>3374860.37</v>
      </c>
    </row>
    <row r="83" spans="2:6" ht="18" customHeight="1" x14ac:dyDescent="0.25">
      <c r="B83" s="7" t="s">
        <v>32</v>
      </c>
      <c r="C83" s="40"/>
      <c r="D83" s="40"/>
      <c r="E83" s="40">
        <f t="shared" si="3"/>
        <v>0</v>
      </c>
      <c r="F83" s="40"/>
    </row>
    <row r="84" spans="2:6" ht="18" customHeight="1" x14ac:dyDescent="0.25">
      <c r="B84" s="7" t="s">
        <v>40</v>
      </c>
      <c r="C84" s="40"/>
      <c r="D84" s="40"/>
      <c r="E84" s="40">
        <f t="shared" si="3"/>
        <v>0</v>
      </c>
      <c r="F84" s="40"/>
    </row>
    <row r="85" spans="2:6" ht="18" customHeight="1" x14ac:dyDescent="0.25">
      <c r="B85" s="7" t="s">
        <v>33</v>
      </c>
      <c r="C85" s="40">
        <v>335805</v>
      </c>
      <c r="D85" s="40">
        <v>-47595.63</v>
      </c>
      <c r="E85" s="40">
        <f t="shared" si="3"/>
        <v>288209.37</v>
      </c>
      <c r="F85" s="40">
        <v>288209.37</v>
      </c>
    </row>
    <row r="86" spans="2:6" ht="18" customHeight="1" x14ac:dyDescent="0.25">
      <c r="B86" s="8" t="s">
        <v>34</v>
      </c>
      <c r="C86" s="40">
        <v>171390</v>
      </c>
      <c r="D86" s="40">
        <v>-5774.39</v>
      </c>
      <c r="E86" s="40">
        <f t="shared" si="3"/>
        <v>165615.60999999999</v>
      </c>
      <c r="F86" s="40">
        <v>165615.60999999999</v>
      </c>
    </row>
    <row r="87" spans="2:6" ht="18" customHeight="1" thickBot="1" x14ac:dyDescent="0.3">
      <c r="B87" s="23" t="s">
        <v>35</v>
      </c>
      <c r="C87" s="51"/>
      <c r="D87" s="40">
        <v>34178.68</v>
      </c>
      <c r="E87" s="40">
        <f t="shared" si="3"/>
        <v>34178.68</v>
      </c>
      <c r="F87" s="51">
        <v>34178.68</v>
      </c>
    </row>
    <row r="88" spans="2:6" ht="18" customHeight="1" x14ac:dyDescent="0.2">
      <c r="B88" s="122" t="s">
        <v>29</v>
      </c>
      <c r="C88" s="127">
        <f>C90+C95+C97+C103+C106+C109</f>
        <v>3633609</v>
      </c>
      <c r="D88" s="127">
        <f t="shared" ref="D88:F88" si="4">D90+D95+D97+D103+D106+D109</f>
        <v>184796.56000000003</v>
      </c>
      <c r="E88" s="127">
        <f t="shared" si="4"/>
        <v>3818405.56</v>
      </c>
      <c r="F88" s="127">
        <f t="shared" si="4"/>
        <v>3818205.56</v>
      </c>
    </row>
    <row r="89" spans="2:6" ht="18" customHeight="1" thickBot="1" x14ac:dyDescent="0.25">
      <c r="B89" s="123"/>
      <c r="C89" s="128"/>
      <c r="D89" s="128"/>
      <c r="E89" s="128"/>
      <c r="F89" s="128"/>
    </row>
    <row r="90" spans="2:6" ht="18" customHeight="1" x14ac:dyDescent="0.25">
      <c r="B90" s="6" t="s">
        <v>11</v>
      </c>
      <c r="C90" s="41">
        <f>SUM(C91:C94)</f>
        <v>366299</v>
      </c>
      <c r="D90" s="41">
        <f>SUM(D91:D94)</f>
        <v>111201.38000000002</v>
      </c>
      <c r="E90" s="41">
        <f>SUM(E91:E94)</f>
        <v>477500.38</v>
      </c>
      <c r="F90" s="41">
        <f>SUM(F91:F94)</f>
        <v>477300.38</v>
      </c>
    </row>
    <row r="91" spans="2:6" ht="18" customHeight="1" x14ac:dyDescent="0.25">
      <c r="B91" s="7" t="s">
        <v>5</v>
      </c>
      <c r="C91" s="42">
        <v>156577</v>
      </c>
      <c r="D91" s="42">
        <v>93507.78</v>
      </c>
      <c r="E91" s="42">
        <f>C91+D91</f>
        <v>250084.78</v>
      </c>
      <c r="F91" s="42">
        <v>250084.78</v>
      </c>
    </row>
    <row r="92" spans="2:6" ht="18" customHeight="1" x14ac:dyDescent="0.25">
      <c r="B92" s="7" t="s">
        <v>6</v>
      </c>
      <c r="C92" s="42">
        <v>151780</v>
      </c>
      <c r="D92" s="42">
        <v>74145.490000000005</v>
      </c>
      <c r="E92" s="42">
        <f>C92+D92</f>
        <v>225925.49</v>
      </c>
      <c r="F92" s="42">
        <v>225725.49</v>
      </c>
    </row>
    <row r="93" spans="2:6" ht="18" customHeight="1" x14ac:dyDescent="0.25">
      <c r="B93" s="7" t="s">
        <v>7</v>
      </c>
      <c r="C93" s="42">
        <v>57042</v>
      </c>
      <c r="D93" s="42">
        <v>-56339.06</v>
      </c>
      <c r="E93" s="42">
        <f>C93+D93</f>
        <v>702.94000000000233</v>
      </c>
      <c r="F93" s="42">
        <v>702.94</v>
      </c>
    </row>
    <row r="94" spans="2:6" ht="18" customHeight="1" x14ac:dyDescent="0.25">
      <c r="B94" s="8" t="s">
        <v>8</v>
      </c>
      <c r="C94" s="42">
        <v>900</v>
      </c>
      <c r="D94" s="42">
        <v>-112.83</v>
      </c>
      <c r="E94" s="42">
        <f>C94+D94</f>
        <v>787.17</v>
      </c>
      <c r="F94" s="42">
        <v>787.17</v>
      </c>
    </row>
    <row r="95" spans="2:6" ht="18" customHeight="1" x14ac:dyDescent="0.25">
      <c r="B95" s="9" t="s">
        <v>12</v>
      </c>
      <c r="C95" s="43">
        <f>SUM(C96)</f>
        <v>3115184</v>
      </c>
      <c r="D95" s="43">
        <f>SUM(D96)</f>
        <v>56409.49</v>
      </c>
      <c r="E95" s="43">
        <f>SUM(E96)</f>
        <v>3171593.49</v>
      </c>
      <c r="F95" s="43">
        <f>SUM(F96)</f>
        <v>3171593.49</v>
      </c>
    </row>
    <row r="96" spans="2:6" ht="18" customHeight="1" x14ac:dyDescent="0.25">
      <c r="B96" s="10" t="s">
        <v>16</v>
      </c>
      <c r="C96" s="42">
        <v>3115184</v>
      </c>
      <c r="D96" s="42">
        <v>56409.49</v>
      </c>
      <c r="E96" s="42">
        <f>C96+D96</f>
        <v>3171593.49</v>
      </c>
      <c r="F96" s="42">
        <v>3171593.49</v>
      </c>
    </row>
    <row r="97" spans="2:6" ht="18" customHeight="1" x14ac:dyDescent="0.25">
      <c r="B97" s="11" t="s">
        <v>21</v>
      </c>
      <c r="C97" s="44">
        <f>SUM(C98:C102)</f>
        <v>16042</v>
      </c>
      <c r="D97" s="44">
        <f>SUM(D98:D102)</f>
        <v>5884.2800000000007</v>
      </c>
      <c r="E97" s="44">
        <f>SUM(E98:E102)</f>
        <v>21926.280000000002</v>
      </c>
      <c r="F97" s="44">
        <f>SUM(F98:F102)</f>
        <v>21926.280000000002</v>
      </c>
    </row>
    <row r="98" spans="2:6" ht="18" customHeight="1" x14ac:dyDescent="0.25">
      <c r="B98" s="8" t="s">
        <v>20</v>
      </c>
      <c r="C98" s="42">
        <v>14419</v>
      </c>
      <c r="D98" s="42">
        <v>-1333.05</v>
      </c>
      <c r="E98" s="42">
        <f>C98+D98</f>
        <v>13085.95</v>
      </c>
      <c r="F98" s="42">
        <v>13085.95</v>
      </c>
    </row>
    <row r="99" spans="2:6" ht="18" customHeight="1" x14ac:dyDescent="0.25">
      <c r="B99" s="8" t="s">
        <v>30</v>
      </c>
      <c r="C99" s="42"/>
      <c r="D99" s="42">
        <v>812.74</v>
      </c>
      <c r="E99" s="42">
        <f>C99+D99</f>
        <v>812.74</v>
      </c>
      <c r="F99" s="42">
        <v>812.74</v>
      </c>
    </row>
    <row r="100" spans="2:6" ht="18" customHeight="1" x14ac:dyDescent="0.25">
      <c r="B100" s="8" t="s">
        <v>19</v>
      </c>
      <c r="C100" s="42"/>
      <c r="D100" s="42">
        <f>410.18+433.1</f>
        <v>843.28</v>
      </c>
      <c r="E100" s="42">
        <f t="shared" ref="E100:E102" si="5">C100+D100</f>
        <v>843.28</v>
      </c>
      <c r="F100" s="42">
        <f>433.1+410.18</f>
        <v>843.28</v>
      </c>
    </row>
    <row r="101" spans="2:6" ht="18" customHeight="1" x14ac:dyDescent="0.25">
      <c r="B101" s="8" t="s">
        <v>17</v>
      </c>
      <c r="C101" s="42">
        <v>1623</v>
      </c>
      <c r="D101" s="42">
        <v>1388</v>
      </c>
      <c r="E101" s="42">
        <f t="shared" si="5"/>
        <v>3011</v>
      </c>
      <c r="F101" s="42">
        <v>3011</v>
      </c>
    </row>
    <row r="102" spans="2:6" ht="18" customHeight="1" x14ac:dyDescent="0.25">
      <c r="B102" s="8" t="s">
        <v>18</v>
      </c>
      <c r="C102" s="42"/>
      <c r="D102" s="42">
        <v>4173.3100000000004</v>
      </c>
      <c r="E102" s="42">
        <f t="shared" si="5"/>
        <v>4173.3100000000004</v>
      </c>
      <c r="F102" s="42">
        <v>4173.3100000000004</v>
      </c>
    </row>
    <row r="103" spans="2:6" ht="18" customHeight="1" x14ac:dyDescent="0.25">
      <c r="B103" s="11" t="s">
        <v>26</v>
      </c>
      <c r="C103" s="44">
        <f>SUM(C104:C105)</f>
        <v>31694</v>
      </c>
      <c r="D103" s="44">
        <f>SUM(D104:D105)</f>
        <v>14777.95</v>
      </c>
      <c r="E103" s="44">
        <f>SUM(E104:E105)</f>
        <v>46471.95</v>
      </c>
      <c r="F103" s="44">
        <f>SUM(F104:F105)</f>
        <v>46471.95</v>
      </c>
    </row>
    <row r="104" spans="2:6" ht="18" customHeight="1" x14ac:dyDescent="0.25">
      <c r="B104" s="8" t="s">
        <v>27</v>
      </c>
      <c r="C104" s="42">
        <v>9194</v>
      </c>
      <c r="D104" s="42">
        <v>10872.03</v>
      </c>
      <c r="E104" s="42">
        <f>C104+D104</f>
        <v>20066.03</v>
      </c>
      <c r="F104" s="42">
        <v>20066.03</v>
      </c>
    </row>
    <row r="105" spans="2:6" ht="18" customHeight="1" x14ac:dyDescent="0.25">
      <c r="B105" s="8" t="s">
        <v>28</v>
      </c>
      <c r="C105" s="42">
        <v>22500</v>
      </c>
      <c r="D105" s="42">
        <v>3905.92</v>
      </c>
      <c r="E105" s="42">
        <f>C105+D105</f>
        <v>26405.919999999998</v>
      </c>
      <c r="F105" s="42">
        <v>26405.919999999998</v>
      </c>
    </row>
    <row r="106" spans="2:6" ht="18" customHeight="1" x14ac:dyDescent="0.25">
      <c r="B106" s="11" t="s">
        <v>13</v>
      </c>
      <c r="C106" s="44">
        <f>SUM(C107:C108)</f>
        <v>63000</v>
      </c>
      <c r="D106" s="44">
        <f t="shared" ref="D106:F106" si="6">SUM(D107:D108)</f>
        <v>-19350</v>
      </c>
      <c r="E106" s="44">
        <f t="shared" si="6"/>
        <v>43650</v>
      </c>
      <c r="F106" s="44">
        <f t="shared" si="6"/>
        <v>43650</v>
      </c>
    </row>
    <row r="107" spans="2:6" ht="18" customHeight="1" x14ac:dyDescent="0.25">
      <c r="B107" s="8" t="s">
        <v>9</v>
      </c>
      <c r="C107" s="42">
        <v>19350</v>
      </c>
      <c r="D107" s="42">
        <v>-19350</v>
      </c>
      <c r="E107" s="42">
        <f>C107+D107</f>
        <v>0</v>
      </c>
      <c r="F107" s="42"/>
    </row>
    <row r="108" spans="2:6" ht="18" customHeight="1" x14ac:dyDescent="0.25">
      <c r="B108" s="8" t="s">
        <v>10</v>
      </c>
      <c r="C108" s="42">
        <v>43650</v>
      </c>
      <c r="D108" s="42"/>
      <c r="E108" s="42">
        <f>C108+D108</f>
        <v>43650</v>
      </c>
      <c r="F108" s="42">
        <v>43650</v>
      </c>
    </row>
    <row r="109" spans="2:6" ht="18" customHeight="1" thickBot="1" x14ac:dyDescent="0.3">
      <c r="B109" s="15" t="s">
        <v>14</v>
      </c>
      <c r="C109" s="52">
        <f>1200+3040+1675+22875+12600</f>
        <v>41390</v>
      </c>
      <c r="D109" s="52">
        <f>(1519.5+217+2006.95+82+1150.64+110.08+391.41+30.71+1206.23+463.07+419.44+376.2+339.8+9466.18)-(1200+213.65+492.1)</f>
        <v>15873.46</v>
      </c>
      <c r="E109" s="45">
        <f>C109+D109</f>
        <v>57263.46</v>
      </c>
      <c r="F109" s="52">
        <f>1519.5+217+2006.95+82+1150.64+110.08+2826.35+391.41+30.71+1206.23+463.07+2094.44+376.2+22382.9+339.8+22066.18</f>
        <v>57263.460000000006</v>
      </c>
    </row>
    <row r="110" spans="2:6" ht="18" customHeight="1" thickBot="1" x14ac:dyDescent="0.35">
      <c r="B110" s="12" t="s">
        <v>22</v>
      </c>
      <c r="C110" s="46">
        <f>SUM(C111:C113)</f>
        <v>82265</v>
      </c>
      <c r="D110" s="46">
        <f>SUM(D111:D113)</f>
        <v>7938.0999999999995</v>
      </c>
      <c r="E110" s="46">
        <f>SUM(E111:E113)</f>
        <v>90203.1</v>
      </c>
      <c r="F110" s="46">
        <f>SUM(F111:F113)</f>
        <v>90203.1</v>
      </c>
    </row>
    <row r="111" spans="2:6" ht="18" customHeight="1" x14ac:dyDescent="0.25">
      <c r="B111" s="16" t="s">
        <v>15</v>
      </c>
      <c r="C111" s="47">
        <v>58565</v>
      </c>
      <c r="D111" s="47">
        <v>13623.75</v>
      </c>
      <c r="E111" s="47">
        <f>C111+D111</f>
        <v>72188.75</v>
      </c>
      <c r="F111" s="47">
        <v>72188.75</v>
      </c>
    </row>
    <row r="112" spans="2:6" ht="18" customHeight="1" x14ac:dyDescent="0.25">
      <c r="B112" s="16" t="s">
        <v>37</v>
      </c>
      <c r="C112" s="48"/>
      <c r="D112" s="48">
        <v>830.72</v>
      </c>
      <c r="E112" s="47">
        <f t="shared" ref="E112:E113" si="7">C112+D112</f>
        <v>830.72</v>
      </c>
      <c r="F112" s="48">
        <v>830.72</v>
      </c>
    </row>
    <row r="113" spans="2:6" ht="18" customHeight="1" thickBot="1" x14ac:dyDescent="0.3">
      <c r="B113" s="17" t="s">
        <v>23</v>
      </c>
      <c r="C113" s="49">
        <v>23700</v>
      </c>
      <c r="D113" s="49">
        <v>-6516.37</v>
      </c>
      <c r="E113" s="47">
        <f t="shared" si="7"/>
        <v>17183.63</v>
      </c>
      <c r="F113" s="49">
        <v>17183.63</v>
      </c>
    </row>
    <row r="114" spans="2:6" ht="18" customHeight="1" thickBot="1" x14ac:dyDescent="0.35">
      <c r="B114" s="12" t="s">
        <v>24</v>
      </c>
      <c r="C114" s="46">
        <f>SUM(C115)</f>
        <v>848</v>
      </c>
      <c r="D114" s="46">
        <f>SUM(D115)</f>
        <v>521.78</v>
      </c>
      <c r="E114" s="46">
        <f>SUM(E115)</f>
        <v>1369.78</v>
      </c>
      <c r="F114" s="46">
        <f>SUM(F115)</f>
        <v>1369.78</v>
      </c>
    </row>
    <row r="115" spans="2:6" ht="18" customHeight="1" thickBot="1" x14ac:dyDescent="0.3">
      <c r="B115" s="18" t="s">
        <v>25</v>
      </c>
      <c r="C115" s="49">
        <v>848</v>
      </c>
      <c r="D115" s="49">
        <v>521.78</v>
      </c>
      <c r="E115" s="49">
        <f>C115+D115</f>
        <v>1369.78</v>
      </c>
      <c r="F115" s="49">
        <v>1369.78</v>
      </c>
    </row>
    <row r="116" spans="2:6" ht="18" customHeight="1" thickBot="1" x14ac:dyDescent="0.35">
      <c r="B116" s="12" t="s">
        <v>38</v>
      </c>
      <c r="C116" s="46">
        <f>SUM(C117:C120)</f>
        <v>0</v>
      </c>
      <c r="D116" s="46">
        <f>SUM(D117:D120)</f>
        <v>310</v>
      </c>
      <c r="E116" s="46">
        <f>SUM(E117:E120)</f>
        <v>310</v>
      </c>
      <c r="F116" s="46">
        <f>SUM(F117:F120)</f>
        <v>310</v>
      </c>
    </row>
    <row r="117" spans="2:6" ht="18" customHeight="1" x14ac:dyDescent="0.25">
      <c r="B117" s="16" t="s">
        <v>42</v>
      </c>
      <c r="C117" s="50"/>
      <c r="D117" s="50"/>
      <c r="E117" s="47">
        <f t="shared" ref="E117:E120" si="8">C117+D117</f>
        <v>0</v>
      </c>
      <c r="F117" s="50"/>
    </row>
    <row r="118" spans="2:6" ht="18" customHeight="1" x14ac:dyDescent="0.25">
      <c r="B118" s="25" t="s">
        <v>45</v>
      </c>
      <c r="C118" s="47"/>
      <c r="D118" s="47">
        <v>310</v>
      </c>
      <c r="E118" s="47">
        <f t="shared" si="8"/>
        <v>310</v>
      </c>
      <c r="F118" s="47">
        <v>310</v>
      </c>
    </row>
    <row r="119" spans="2:6" ht="18" customHeight="1" x14ac:dyDescent="0.25">
      <c r="B119" s="25" t="s">
        <v>43</v>
      </c>
      <c r="C119" s="48"/>
      <c r="D119" s="48"/>
      <c r="E119" s="47">
        <f t="shared" si="8"/>
        <v>0</v>
      </c>
      <c r="F119" s="48"/>
    </row>
    <row r="120" spans="2:6" ht="18" customHeight="1" thickBot="1" x14ac:dyDescent="0.3">
      <c r="B120" s="16" t="s">
        <v>39</v>
      </c>
      <c r="C120" s="30"/>
      <c r="D120" s="30"/>
      <c r="E120" s="47">
        <f t="shared" si="8"/>
        <v>0</v>
      </c>
      <c r="F120" s="49"/>
    </row>
    <row r="121" spans="2:6" ht="18" customHeight="1" thickBot="1" x14ac:dyDescent="0.35">
      <c r="B121" s="13" t="s">
        <v>3</v>
      </c>
      <c r="C121" s="3">
        <f>SUM(C80+C88+C110+C114+C116)</f>
        <v>7896427</v>
      </c>
      <c r="D121" s="3">
        <f>SUM(D80+D88+D110+D114+D116)</f>
        <v>-123274.53</v>
      </c>
      <c r="E121" s="3">
        <f>SUM(E80+E88+E110+E114+E116)</f>
        <v>7773152.4699999997</v>
      </c>
      <c r="F121" s="3">
        <f>SUM(F80+F88+F110+F114+F116)</f>
        <v>7772952.4699999997</v>
      </c>
    </row>
    <row r="123" spans="2:6" ht="18" customHeight="1" x14ac:dyDescent="0.2">
      <c r="C123" s="53"/>
      <c r="D123" s="53"/>
    </row>
    <row r="138" spans="1:6" ht="18" customHeight="1" x14ac:dyDescent="0.2">
      <c r="A138" s="2" t="s">
        <v>36</v>
      </c>
      <c r="B138" s="2"/>
    </row>
    <row r="139" spans="1:6" ht="18" customHeight="1" x14ac:dyDescent="0.2">
      <c r="A139" s="2" t="s">
        <v>1</v>
      </c>
      <c r="B139" s="2"/>
    </row>
    <row r="140" spans="1:6" ht="18" customHeight="1" x14ac:dyDescent="0.2">
      <c r="A140" s="2" t="s">
        <v>2</v>
      </c>
      <c r="B140" s="2"/>
    </row>
    <row r="141" spans="1:6" ht="18" customHeight="1" x14ac:dyDescent="0.2">
      <c r="B141" s="2"/>
    </row>
    <row r="142" spans="1:6" ht="18" customHeight="1" x14ac:dyDescent="0.35">
      <c r="A142" s="32" t="s">
        <v>56</v>
      </c>
      <c r="B142" s="32"/>
      <c r="C142" s="32"/>
      <c r="D142" s="32"/>
      <c r="E142" s="39"/>
    </row>
    <row r="143" spans="1:6" ht="18" customHeight="1" x14ac:dyDescent="0.35">
      <c r="A143" s="112" t="s">
        <v>51</v>
      </c>
      <c r="B143" s="112"/>
      <c r="C143" s="112"/>
      <c r="D143" s="112"/>
      <c r="E143" s="112"/>
    </row>
    <row r="144" spans="1:6" ht="18" customHeight="1" x14ac:dyDescent="0.4">
      <c r="B144" s="113"/>
      <c r="C144" s="113"/>
      <c r="D144" s="36"/>
      <c r="E144" s="112" t="s">
        <v>54</v>
      </c>
      <c r="F144" s="112"/>
    </row>
    <row r="145" spans="1:6" ht="18" customHeight="1" x14ac:dyDescent="0.25">
      <c r="B145" s="33" t="s">
        <v>0</v>
      </c>
      <c r="C145" s="31"/>
      <c r="D145" s="31"/>
    </row>
    <row r="146" spans="1:6" ht="18" customHeight="1" x14ac:dyDescent="0.25">
      <c r="A146" s="31"/>
      <c r="B146" s="34" t="s">
        <v>41</v>
      </c>
      <c r="C146" s="31"/>
      <c r="D146" s="31"/>
    </row>
    <row r="147" spans="1:6" ht="18" customHeight="1" thickBot="1" x14ac:dyDescent="0.25">
      <c r="B147" s="1"/>
      <c r="C147" s="1"/>
      <c r="D147" s="1"/>
    </row>
    <row r="148" spans="1:6" ht="18" customHeight="1" x14ac:dyDescent="0.2">
      <c r="B148" s="114" t="s">
        <v>52</v>
      </c>
      <c r="C148" s="117" t="s">
        <v>48</v>
      </c>
      <c r="D148" s="117" t="s">
        <v>46</v>
      </c>
      <c r="E148" s="124" t="s">
        <v>44</v>
      </c>
      <c r="F148" s="124" t="s">
        <v>47</v>
      </c>
    </row>
    <row r="149" spans="1:6" ht="18" customHeight="1" x14ac:dyDescent="0.2">
      <c r="B149" s="115"/>
      <c r="C149" s="118"/>
      <c r="D149" s="118"/>
      <c r="E149" s="125"/>
      <c r="F149" s="125"/>
    </row>
    <row r="150" spans="1:6" ht="18" customHeight="1" thickBot="1" x14ac:dyDescent="0.25">
      <c r="B150" s="116"/>
      <c r="C150" s="119"/>
      <c r="D150" s="119"/>
      <c r="E150" s="126"/>
      <c r="F150" s="126"/>
    </row>
    <row r="151" spans="1:6" ht="18" customHeight="1" x14ac:dyDescent="0.2">
      <c r="B151" s="122" t="s">
        <v>4</v>
      </c>
      <c r="C151" s="120">
        <f>SUM(C153:C158)</f>
        <v>8359410</v>
      </c>
      <c r="D151" s="120">
        <f>SUM(D153:D158)</f>
        <v>-631159.42000000004</v>
      </c>
      <c r="E151" s="127">
        <f>SUM(E153:E158)</f>
        <v>7728250.5800000001</v>
      </c>
      <c r="F151" s="127">
        <f>SUM(F153:F158)</f>
        <v>7728250.5800000001</v>
      </c>
    </row>
    <row r="152" spans="1:6" ht="18" customHeight="1" thickBot="1" x14ac:dyDescent="0.25">
      <c r="B152" s="123"/>
      <c r="C152" s="121"/>
      <c r="D152" s="121"/>
      <c r="E152" s="128"/>
      <c r="F152" s="128"/>
    </row>
    <row r="153" spans="1:6" ht="18" customHeight="1" x14ac:dyDescent="0.25">
      <c r="B153" s="14" t="s">
        <v>31</v>
      </c>
      <c r="C153" s="40">
        <v>7345020</v>
      </c>
      <c r="D153" s="40">
        <v>-565039.35999999999</v>
      </c>
      <c r="E153" s="40">
        <f t="shared" ref="E153:E158" si="9">C153+D153</f>
        <v>6779980.6399999997</v>
      </c>
      <c r="F153" s="40">
        <v>6779980.6399999997</v>
      </c>
    </row>
    <row r="154" spans="1:6" ht="18" customHeight="1" x14ac:dyDescent="0.25">
      <c r="B154" s="7" t="s">
        <v>32</v>
      </c>
      <c r="C154" s="40"/>
      <c r="D154" s="40"/>
      <c r="E154" s="40">
        <f t="shared" si="9"/>
        <v>0</v>
      </c>
      <c r="F154" s="40"/>
    </row>
    <row r="155" spans="1:6" ht="18" customHeight="1" x14ac:dyDescent="0.25">
      <c r="B155" s="7" t="s">
        <v>40</v>
      </c>
      <c r="C155" s="40"/>
      <c r="D155" s="40"/>
      <c r="E155" s="40">
        <f t="shared" si="9"/>
        <v>0</v>
      </c>
      <c r="F155" s="40"/>
    </row>
    <row r="156" spans="1:6" ht="18" customHeight="1" x14ac:dyDescent="0.25">
      <c r="B156" s="7" t="s">
        <v>33</v>
      </c>
      <c r="C156" s="40">
        <v>671610</v>
      </c>
      <c r="D156" s="40">
        <v>-96065.8</v>
      </c>
      <c r="E156" s="40">
        <f t="shared" si="9"/>
        <v>575544.19999999995</v>
      </c>
      <c r="F156" s="40">
        <v>575544.19999999995</v>
      </c>
    </row>
    <row r="157" spans="1:6" ht="18" customHeight="1" x14ac:dyDescent="0.25">
      <c r="B157" s="8" t="s">
        <v>34</v>
      </c>
      <c r="C157" s="40">
        <v>342780</v>
      </c>
      <c r="D157" s="40">
        <v>-8149.41</v>
      </c>
      <c r="E157" s="40">
        <f t="shared" si="9"/>
        <v>334630.59000000003</v>
      </c>
      <c r="F157" s="40">
        <v>334630.59000000003</v>
      </c>
    </row>
    <row r="158" spans="1:6" ht="18" customHeight="1" thickBot="1" x14ac:dyDescent="0.3">
      <c r="B158" s="23" t="s">
        <v>35</v>
      </c>
      <c r="C158" s="51"/>
      <c r="D158" s="40">
        <v>38095.15</v>
      </c>
      <c r="E158" s="40">
        <f t="shared" si="9"/>
        <v>38095.15</v>
      </c>
      <c r="F158" s="51">
        <v>38095.15</v>
      </c>
    </row>
    <row r="159" spans="1:6" ht="18" customHeight="1" x14ac:dyDescent="0.2">
      <c r="B159" s="122" t="s">
        <v>29</v>
      </c>
      <c r="C159" s="127">
        <f>C161+C166+C168+C174+C177+C180</f>
        <v>9221407</v>
      </c>
      <c r="D159" s="127">
        <f t="shared" ref="D159:F159" si="10">D161+D166+D168+D174+D177+D180</f>
        <v>331900.37</v>
      </c>
      <c r="E159" s="127">
        <f t="shared" si="10"/>
        <v>9553307.3699999992</v>
      </c>
      <c r="F159" s="127">
        <f t="shared" si="10"/>
        <v>9553107.3699999992</v>
      </c>
    </row>
    <row r="160" spans="1:6" ht="18" customHeight="1" thickBot="1" x14ac:dyDescent="0.25">
      <c r="B160" s="123"/>
      <c r="C160" s="128"/>
      <c r="D160" s="128"/>
      <c r="E160" s="128"/>
      <c r="F160" s="128"/>
    </row>
    <row r="161" spans="2:6" ht="18" customHeight="1" x14ac:dyDescent="0.25">
      <c r="B161" s="6" t="s">
        <v>11</v>
      </c>
      <c r="C161" s="41">
        <f>SUM(C162:C165)</f>
        <v>906852</v>
      </c>
      <c r="D161" s="41">
        <f>SUM(D162:D165)</f>
        <v>-457.54000000000116</v>
      </c>
      <c r="E161" s="41">
        <f>SUM(E162:E165)</f>
        <v>906394.46000000008</v>
      </c>
      <c r="F161" s="41">
        <f>SUM(F162:F165)</f>
        <v>906194.46000000008</v>
      </c>
    </row>
    <row r="162" spans="2:6" ht="18" customHeight="1" x14ac:dyDescent="0.25">
      <c r="B162" s="7" t="s">
        <v>5</v>
      </c>
      <c r="C162" s="42">
        <v>391442</v>
      </c>
      <c r="D162" s="42">
        <v>89624.55</v>
      </c>
      <c r="E162" s="42">
        <f>C162+D162</f>
        <v>481066.55</v>
      </c>
      <c r="F162" s="42">
        <v>481066.55</v>
      </c>
    </row>
    <row r="163" spans="2:6" ht="18" customHeight="1" x14ac:dyDescent="0.25">
      <c r="B163" s="7" t="s">
        <v>6</v>
      </c>
      <c r="C163" s="42">
        <v>379450</v>
      </c>
      <c r="D163" s="42">
        <v>7705.67</v>
      </c>
      <c r="E163" s="42">
        <f>C163+D163</f>
        <v>387155.67</v>
      </c>
      <c r="F163" s="42">
        <v>386955.67</v>
      </c>
    </row>
    <row r="164" spans="2:6" ht="18" customHeight="1" x14ac:dyDescent="0.25">
      <c r="B164" s="7" t="s">
        <v>7</v>
      </c>
      <c r="C164" s="42">
        <v>134160</v>
      </c>
      <c r="D164" s="42">
        <v>-97294.94</v>
      </c>
      <c r="E164" s="42">
        <f>C164+D164</f>
        <v>36865.06</v>
      </c>
      <c r="F164" s="42">
        <v>36865.06</v>
      </c>
    </row>
    <row r="165" spans="2:6" ht="18" customHeight="1" x14ac:dyDescent="0.25">
      <c r="B165" s="8" t="s">
        <v>8</v>
      </c>
      <c r="C165" s="42">
        <v>1800</v>
      </c>
      <c r="D165" s="42">
        <v>-492.82</v>
      </c>
      <c r="E165" s="42">
        <f>C165+D165</f>
        <v>1307.18</v>
      </c>
      <c r="F165" s="42">
        <v>1307.18</v>
      </c>
    </row>
    <row r="166" spans="2:6" ht="18" customHeight="1" x14ac:dyDescent="0.25">
      <c r="B166" s="9" t="s">
        <v>12</v>
      </c>
      <c r="C166" s="43">
        <f>SUM(C167)</f>
        <v>7891801</v>
      </c>
      <c r="D166" s="43">
        <f>SUM(D167)</f>
        <v>421062.77</v>
      </c>
      <c r="E166" s="43">
        <f>SUM(E167)</f>
        <v>8312863.7699999996</v>
      </c>
      <c r="F166" s="43">
        <f>SUM(F167)</f>
        <v>8312863.7699999996</v>
      </c>
    </row>
    <row r="167" spans="2:6" ht="18" customHeight="1" x14ac:dyDescent="0.25">
      <c r="B167" s="10" t="s">
        <v>16</v>
      </c>
      <c r="C167" s="42">
        <v>7891801</v>
      </c>
      <c r="D167" s="42">
        <v>421062.77</v>
      </c>
      <c r="E167" s="42">
        <f>C167+D167</f>
        <v>8312863.7699999996</v>
      </c>
      <c r="F167" s="42">
        <v>8312863.7699999996</v>
      </c>
    </row>
    <row r="168" spans="2:6" ht="18" customHeight="1" x14ac:dyDescent="0.25">
      <c r="B168" s="11" t="s">
        <v>21</v>
      </c>
      <c r="C168" s="44">
        <f>SUM(C169:C173)</f>
        <v>147710</v>
      </c>
      <c r="D168" s="44">
        <f>SUM(D169:D173)</f>
        <v>-94173.88</v>
      </c>
      <c r="E168" s="44">
        <f>SUM(E169:E173)</f>
        <v>53536.12000000001</v>
      </c>
      <c r="F168" s="44">
        <f>SUM(F169:F173)</f>
        <v>53536.12</v>
      </c>
    </row>
    <row r="169" spans="2:6" ht="18" customHeight="1" x14ac:dyDescent="0.25">
      <c r="B169" s="8" t="s">
        <v>20</v>
      </c>
      <c r="C169" s="42">
        <v>28840</v>
      </c>
      <c r="D169" s="42">
        <v>-5604.68</v>
      </c>
      <c r="E169" s="42">
        <f>C169+D169</f>
        <v>23235.32</v>
      </c>
      <c r="F169" s="42">
        <v>23235.32</v>
      </c>
    </row>
    <row r="170" spans="2:6" ht="18" customHeight="1" x14ac:dyDescent="0.25">
      <c r="B170" s="8" t="s">
        <v>30</v>
      </c>
      <c r="C170" s="42">
        <v>30520</v>
      </c>
      <c r="D170" s="42">
        <v>-29707.26</v>
      </c>
      <c r="E170" s="42">
        <f>C170+D170</f>
        <v>812.7400000000016</v>
      </c>
      <c r="F170" s="42">
        <v>812.74</v>
      </c>
    </row>
    <row r="171" spans="2:6" ht="18" customHeight="1" x14ac:dyDescent="0.25">
      <c r="B171" s="8" t="s">
        <v>19</v>
      </c>
      <c r="C171" s="42">
        <f>76282+8820</f>
        <v>85102</v>
      </c>
      <c r="D171" s="42">
        <f>7340.18-72790.62</f>
        <v>-65450.439999999995</v>
      </c>
      <c r="E171" s="42">
        <f t="shared" ref="E171:E173" si="11">C171+D171</f>
        <v>19651.560000000005</v>
      </c>
      <c r="F171" s="42">
        <f>16160.18+3491.38</f>
        <v>19651.560000000001</v>
      </c>
    </row>
    <row r="172" spans="2:6" ht="18" customHeight="1" x14ac:dyDescent="0.25">
      <c r="B172" s="8" t="s">
        <v>17</v>
      </c>
      <c r="C172" s="42">
        <v>3248</v>
      </c>
      <c r="D172" s="42">
        <v>843</v>
      </c>
      <c r="E172" s="42">
        <f t="shared" si="11"/>
        <v>4091</v>
      </c>
      <c r="F172" s="42">
        <v>4091</v>
      </c>
    </row>
    <row r="173" spans="2:6" ht="18" customHeight="1" x14ac:dyDescent="0.25">
      <c r="B173" s="8" t="s">
        <v>18</v>
      </c>
      <c r="C173" s="42"/>
      <c r="D173" s="42">
        <v>5745.5</v>
      </c>
      <c r="E173" s="42">
        <f t="shared" si="11"/>
        <v>5745.5</v>
      </c>
      <c r="F173" s="42">
        <v>5745.5</v>
      </c>
    </row>
    <row r="174" spans="2:6" ht="18" customHeight="1" x14ac:dyDescent="0.25">
      <c r="B174" s="11" t="s">
        <v>26</v>
      </c>
      <c r="C174" s="44">
        <f>SUM(C175:C176)</f>
        <v>67204</v>
      </c>
      <c r="D174" s="44">
        <f>SUM(D175:D176)</f>
        <v>861.98999999999978</v>
      </c>
      <c r="E174" s="44">
        <f>SUM(E175:E176)</f>
        <v>68065.989999999991</v>
      </c>
      <c r="F174" s="44">
        <f>SUM(F175:F176)</f>
        <v>68065.989999999991</v>
      </c>
    </row>
    <row r="175" spans="2:6" ht="18" customHeight="1" x14ac:dyDescent="0.25">
      <c r="B175" s="8" t="s">
        <v>27</v>
      </c>
      <c r="C175" s="42">
        <v>22204</v>
      </c>
      <c r="D175" s="42">
        <v>8733.42</v>
      </c>
      <c r="E175" s="42">
        <f>C175+D175</f>
        <v>30937.42</v>
      </c>
      <c r="F175" s="42">
        <v>30937.42</v>
      </c>
    </row>
    <row r="176" spans="2:6" ht="18" customHeight="1" x14ac:dyDescent="0.25">
      <c r="B176" s="8" t="s">
        <v>28</v>
      </c>
      <c r="C176" s="42">
        <v>45000</v>
      </c>
      <c r="D176" s="42">
        <v>-7871.43</v>
      </c>
      <c r="E176" s="42">
        <f>C176+D176</f>
        <v>37128.57</v>
      </c>
      <c r="F176" s="42">
        <v>37128.57</v>
      </c>
    </row>
    <row r="177" spans="2:6" ht="18" customHeight="1" x14ac:dyDescent="0.25">
      <c r="B177" s="11" t="s">
        <v>13</v>
      </c>
      <c r="C177" s="44">
        <f>SUM(C178:C179)</f>
        <v>126000</v>
      </c>
      <c r="D177" s="44">
        <f t="shared" ref="D177" si="12">SUM(D178:D179)</f>
        <v>-6762.5</v>
      </c>
      <c r="E177" s="44">
        <f t="shared" ref="E177" si="13">SUM(E178:E179)</f>
        <v>119237.5</v>
      </c>
      <c r="F177" s="44">
        <f t="shared" ref="F177" si="14">SUM(F178:F179)</f>
        <v>119237.5</v>
      </c>
    </row>
    <row r="178" spans="2:6" ht="18" customHeight="1" x14ac:dyDescent="0.25">
      <c r="B178" s="8" t="s">
        <v>9</v>
      </c>
      <c r="C178" s="42">
        <v>38700</v>
      </c>
      <c r="D178" s="42">
        <v>-6762.5</v>
      </c>
      <c r="E178" s="42">
        <f>C178+D178</f>
        <v>31937.5</v>
      </c>
      <c r="F178" s="42">
        <v>31937.5</v>
      </c>
    </row>
    <row r="179" spans="2:6" ht="18" customHeight="1" x14ac:dyDescent="0.25">
      <c r="B179" s="8" t="s">
        <v>10</v>
      </c>
      <c r="C179" s="42">
        <v>87300</v>
      </c>
      <c r="D179" s="42"/>
      <c r="E179" s="42">
        <f>C179+D179</f>
        <v>87300</v>
      </c>
      <c r="F179" s="42">
        <v>87300</v>
      </c>
    </row>
    <row r="180" spans="2:6" ht="18" customHeight="1" thickBot="1" x14ac:dyDescent="0.3">
      <c r="B180" s="15" t="s">
        <v>14</v>
      </c>
      <c r="C180" s="52">
        <f>1200+3040+3350+45750+28500</f>
        <v>81840</v>
      </c>
      <c r="D180" s="52">
        <f>-(1200+213.65+20212.51)+(146.8+4709.85+275.7+2846.04+82+3005.6+135.06+466.38+527.7+1438.48+463.07+1436.1+457.56+587.75+12294.6+4123)</f>
        <v>11369.529999999995</v>
      </c>
      <c r="E180" s="45">
        <f>C180+D180</f>
        <v>93209.53</v>
      </c>
      <c r="F180" s="52">
        <f>146.8+4709.85+275.7+2846.04+82+3005.6+135.06+2826.35+466.38+527.7+1438.48+463.07+4786.1+457.56+25537.49+587.75+40794.6+4123</f>
        <v>93209.53</v>
      </c>
    </row>
    <row r="181" spans="2:6" ht="18" customHeight="1" thickBot="1" x14ac:dyDescent="0.35">
      <c r="B181" s="12" t="s">
        <v>22</v>
      </c>
      <c r="C181" s="46">
        <f>SUM(C182:C184)</f>
        <v>120689</v>
      </c>
      <c r="D181" s="46">
        <f>SUM(D182:D184)</f>
        <v>32543.65</v>
      </c>
      <c r="E181" s="46">
        <f>SUM(E182:E184)</f>
        <v>153232.65</v>
      </c>
      <c r="F181" s="46">
        <f>SUM(F182:F184)</f>
        <v>153232.65</v>
      </c>
    </row>
    <row r="182" spans="2:6" ht="18" customHeight="1" x14ac:dyDescent="0.25">
      <c r="B182" s="16" t="s">
        <v>15</v>
      </c>
      <c r="C182" s="47">
        <v>96989</v>
      </c>
      <c r="D182" s="47">
        <v>-830.72</v>
      </c>
      <c r="E182" s="47">
        <f>C182+D182</f>
        <v>96158.28</v>
      </c>
      <c r="F182" s="47">
        <v>96158.28</v>
      </c>
    </row>
    <row r="183" spans="2:6" ht="18" customHeight="1" x14ac:dyDescent="0.25">
      <c r="B183" s="16" t="s">
        <v>37</v>
      </c>
      <c r="C183" s="48"/>
      <c r="D183" s="48">
        <v>830.72</v>
      </c>
      <c r="E183" s="47">
        <f t="shared" ref="E183:E184" si="15">C183+D183</f>
        <v>830.72</v>
      </c>
      <c r="F183" s="48">
        <v>830.72</v>
      </c>
    </row>
    <row r="184" spans="2:6" ht="18" customHeight="1" thickBot="1" x14ac:dyDescent="0.3">
      <c r="B184" s="17" t="s">
        <v>23</v>
      </c>
      <c r="C184" s="49">
        <v>23700</v>
      </c>
      <c r="D184" s="49">
        <v>32543.65</v>
      </c>
      <c r="E184" s="47">
        <f t="shared" si="15"/>
        <v>56243.65</v>
      </c>
      <c r="F184" s="49">
        <v>56243.65</v>
      </c>
    </row>
    <row r="185" spans="2:6" ht="18" customHeight="1" thickBot="1" x14ac:dyDescent="0.35">
      <c r="B185" s="12" t="s">
        <v>24</v>
      </c>
      <c r="C185" s="46">
        <f>SUM(C186)</f>
        <v>1696</v>
      </c>
      <c r="D185" s="46">
        <f>SUM(D186)</f>
        <v>-326.22000000000003</v>
      </c>
      <c r="E185" s="46">
        <f>SUM(E186)</f>
        <v>1369.78</v>
      </c>
      <c r="F185" s="46">
        <f>SUM(F186)</f>
        <v>1369.78</v>
      </c>
    </row>
    <row r="186" spans="2:6" ht="18" customHeight="1" thickBot="1" x14ac:dyDescent="0.3">
      <c r="B186" s="18" t="s">
        <v>25</v>
      </c>
      <c r="C186" s="49">
        <v>1696</v>
      </c>
      <c r="D186" s="49">
        <v>-326.22000000000003</v>
      </c>
      <c r="E186" s="49">
        <f>C186+D186</f>
        <v>1369.78</v>
      </c>
      <c r="F186" s="49">
        <v>1369.78</v>
      </c>
    </row>
    <row r="187" spans="2:6" ht="18" customHeight="1" thickBot="1" x14ac:dyDescent="0.35">
      <c r="B187" s="12" t="s">
        <v>38</v>
      </c>
      <c r="C187" s="46">
        <f>SUM(C188:C191)</f>
        <v>0</v>
      </c>
      <c r="D187" s="46">
        <f>SUM(D188:D191)</f>
        <v>1783.03</v>
      </c>
      <c r="E187" s="46">
        <f>SUM(E188:E191)</f>
        <v>1783.03</v>
      </c>
      <c r="F187" s="46">
        <f>SUM(F188:F191)</f>
        <v>1783.03</v>
      </c>
    </row>
    <row r="188" spans="2:6" ht="18" customHeight="1" x14ac:dyDescent="0.25">
      <c r="B188" s="16" t="s">
        <v>42</v>
      </c>
      <c r="C188" s="50"/>
      <c r="D188" s="50"/>
      <c r="E188" s="47">
        <f t="shared" ref="E188:E191" si="16">C188+D188</f>
        <v>0</v>
      </c>
      <c r="F188" s="50"/>
    </row>
    <row r="189" spans="2:6" ht="18" customHeight="1" x14ac:dyDescent="0.25">
      <c r="B189" s="25" t="s">
        <v>45</v>
      </c>
      <c r="C189" s="47"/>
      <c r="D189" s="47">
        <v>310</v>
      </c>
      <c r="E189" s="47">
        <f t="shared" si="16"/>
        <v>310</v>
      </c>
      <c r="F189" s="47">
        <v>310</v>
      </c>
    </row>
    <row r="190" spans="2:6" ht="18" customHeight="1" x14ac:dyDescent="0.25">
      <c r="B190" s="25" t="s">
        <v>43</v>
      </c>
      <c r="C190" s="48"/>
      <c r="D190" s="48">
        <v>1473.03</v>
      </c>
      <c r="E190" s="47">
        <f t="shared" si="16"/>
        <v>1473.03</v>
      </c>
      <c r="F190" s="48">
        <v>1473.03</v>
      </c>
    </row>
    <row r="191" spans="2:6" ht="18" customHeight="1" thickBot="1" x14ac:dyDescent="0.3">
      <c r="B191" s="16" t="s">
        <v>39</v>
      </c>
      <c r="C191" s="49"/>
      <c r="D191" s="49"/>
      <c r="E191" s="47">
        <f t="shared" si="16"/>
        <v>0</v>
      </c>
      <c r="F191" s="49"/>
    </row>
    <row r="192" spans="2:6" ht="18" customHeight="1" thickBot="1" x14ac:dyDescent="0.35">
      <c r="B192" s="13" t="s">
        <v>3</v>
      </c>
      <c r="C192" s="3">
        <f>SUM(C151+C159+C181+C185+C187)</f>
        <v>17703202</v>
      </c>
      <c r="D192" s="3">
        <f>SUM(D151+D159+D181+D185+D187)</f>
        <v>-265258.58999999997</v>
      </c>
      <c r="E192" s="3">
        <f>SUM(E151+E159+E181+E185+E187)</f>
        <v>17437943.41</v>
      </c>
      <c r="F192" s="3">
        <f>SUM(F151+F159+F181+F185+F187)</f>
        <v>17437743.41</v>
      </c>
    </row>
    <row r="195" spans="2:6" ht="18" customHeight="1" x14ac:dyDescent="0.25">
      <c r="B195" s="33" t="s">
        <v>63</v>
      </c>
      <c r="C195" s="31"/>
      <c r="D195" s="31"/>
    </row>
    <row r="196" spans="2:6" ht="18" customHeight="1" x14ac:dyDescent="0.25">
      <c r="B196" s="34" t="s">
        <v>64</v>
      </c>
      <c r="C196" s="31"/>
      <c r="D196" s="31"/>
    </row>
    <row r="197" spans="2:6" ht="18" customHeight="1" thickBot="1" x14ac:dyDescent="0.25">
      <c r="B197" s="1"/>
      <c r="C197" s="1"/>
      <c r="D197" s="1"/>
    </row>
    <row r="198" spans="2:6" ht="18" customHeight="1" x14ac:dyDescent="0.2">
      <c r="B198" s="114" t="s">
        <v>52</v>
      </c>
      <c r="C198" s="124" t="s">
        <v>48</v>
      </c>
      <c r="D198" s="124" t="s">
        <v>46</v>
      </c>
      <c r="E198" s="124" t="s">
        <v>44</v>
      </c>
      <c r="F198" s="124" t="s">
        <v>47</v>
      </c>
    </row>
    <row r="199" spans="2:6" ht="18" customHeight="1" x14ac:dyDescent="0.2">
      <c r="B199" s="115"/>
      <c r="C199" s="125"/>
      <c r="D199" s="125"/>
      <c r="E199" s="125"/>
      <c r="F199" s="125"/>
    </row>
    <row r="200" spans="2:6" ht="18" customHeight="1" thickBot="1" x14ac:dyDescent="0.25">
      <c r="B200" s="116"/>
      <c r="C200" s="126"/>
      <c r="D200" s="126"/>
      <c r="E200" s="126"/>
      <c r="F200" s="126"/>
    </row>
    <row r="201" spans="2:6" ht="18" customHeight="1" thickBot="1" x14ac:dyDescent="0.35">
      <c r="B201" s="12" t="s">
        <v>38</v>
      </c>
      <c r="C201" s="46">
        <f>SUM(C202:C205)</f>
        <v>100</v>
      </c>
      <c r="D201" s="46">
        <f>SUM(D202:D205)</f>
        <v>0</v>
      </c>
      <c r="E201" s="46">
        <f>SUM(E202:E205)</f>
        <v>100</v>
      </c>
      <c r="F201" s="46">
        <f>SUM(F202:F205)</f>
        <v>0</v>
      </c>
    </row>
    <row r="202" spans="2:6" ht="18" customHeight="1" thickBot="1" x14ac:dyDescent="0.35">
      <c r="B202" s="16" t="s">
        <v>42</v>
      </c>
      <c r="C202" s="50"/>
      <c r="D202" s="50"/>
      <c r="E202" s="46">
        <f t="shared" ref="E202:E205" si="17">+C202-D202</f>
        <v>0</v>
      </c>
      <c r="F202" s="50"/>
    </row>
    <row r="203" spans="2:6" ht="18" customHeight="1" thickBot="1" x14ac:dyDescent="0.35">
      <c r="B203" s="25" t="s">
        <v>45</v>
      </c>
      <c r="C203" s="47"/>
      <c r="D203" s="47"/>
      <c r="E203" s="46">
        <f t="shared" si="17"/>
        <v>0</v>
      </c>
      <c r="F203" s="47"/>
    </row>
    <row r="204" spans="2:6" ht="18" customHeight="1" thickBot="1" x14ac:dyDescent="0.35">
      <c r="B204" s="25" t="s">
        <v>43</v>
      </c>
      <c r="C204" s="48"/>
      <c r="D204" s="48"/>
      <c r="E204" s="46">
        <f t="shared" si="17"/>
        <v>0</v>
      </c>
      <c r="F204" s="48"/>
    </row>
    <row r="205" spans="2:6" ht="18" customHeight="1" thickBot="1" x14ac:dyDescent="0.3">
      <c r="B205" s="16" t="s">
        <v>65</v>
      </c>
      <c r="C205" s="49">
        <v>100</v>
      </c>
      <c r="D205" s="49"/>
      <c r="E205" s="49">
        <f t="shared" si="17"/>
        <v>100</v>
      </c>
      <c r="F205" s="49"/>
    </row>
    <row r="206" spans="2:6" ht="18" customHeight="1" thickBot="1" x14ac:dyDescent="0.35">
      <c r="B206" s="13" t="s">
        <v>3</v>
      </c>
      <c r="C206" s="3">
        <f>+C201</f>
        <v>100</v>
      </c>
      <c r="D206" s="3">
        <f>+D201</f>
        <v>0</v>
      </c>
      <c r="E206" s="3">
        <f>+E201</f>
        <v>100</v>
      </c>
      <c r="F206" s="3">
        <f>+F201</f>
        <v>0</v>
      </c>
    </row>
    <row r="209" spans="1:6" ht="18" customHeight="1" x14ac:dyDescent="0.2">
      <c r="A209" s="2" t="s">
        <v>36</v>
      </c>
      <c r="B209" s="2"/>
    </row>
    <row r="210" spans="1:6" ht="18" customHeight="1" x14ac:dyDescent="0.2">
      <c r="A210" s="2" t="s">
        <v>1</v>
      </c>
      <c r="B210" s="2"/>
    </row>
    <row r="211" spans="1:6" ht="18" customHeight="1" x14ac:dyDescent="0.2">
      <c r="A211" s="2" t="s">
        <v>2</v>
      </c>
      <c r="B211" s="2"/>
    </row>
    <row r="212" spans="1:6" ht="18" customHeight="1" x14ac:dyDescent="0.2">
      <c r="B212" s="2"/>
    </row>
    <row r="213" spans="1:6" ht="18" customHeight="1" x14ac:dyDescent="0.35">
      <c r="A213" s="32" t="s">
        <v>56</v>
      </c>
      <c r="B213" s="32"/>
      <c r="C213" s="32"/>
      <c r="D213" s="32"/>
      <c r="E213" s="39"/>
    </row>
    <row r="214" spans="1:6" ht="18" customHeight="1" x14ac:dyDescent="0.35">
      <c r="A214" s="112" t="s">
        <v>51</v>
      </c>
      <c r="B214" s="112"/>
      <c r="C214" s="112"/>
      <c r="D214" s="112"/>
      <c r="E214" s="112"/>
    </row>
    <row r="215" spans="1:6" ht="18" customHeight="1" x14ac:dyDescent="0.4">
      <c r="B215" s="113"/>
      <c r="C215" s="113"/>
      <c r="D215" s="36"/>
      <c r="E215" s="112" t="s">
        <v>55</v>
      </c>
      <c r="F215" s="112"/>
    </row>
    <row r="216" spans="1:6" ht="18" customHeight="1" x14ac:dyDescent="0.25">
      <c r="B216" s="33" t="s">
        <v>0</v>
      </c>
      <c r="C216" s="31"/>
      <c r="D216" s="31"/>
    </row>
    <row r="217" spans="1:6" ht="18" customHeight="1" x14ac:dyDescent="0.25">
      <c r="A217" s="31"/>
      <c r="B217" s="34" t="s">
        <v>41</v>
      </c>
      <c r="C217" s="31"/>
      <c r="D217" s="31"/>
    </row>
    <row r="218" spans="1:6" ht="18" customHeight="1" thickBot="1" x14ac:dyDescent="0.25">
      <c r="B218" s="1"/>
      <c r="C218" s="1"/>
      <c r="D218" s="1"/>
    </row>
    <row r="219" spans="1:6" ht="18" customHeight="1" x14ac:dyDescent="0.2">
      <c r="B219" s="114" t="s">
        <v>52</v>
      </c>
      <c r="C219" s="124" t="s">
        <v>48</v>
      </c>
      <c r="D219" s="124" t="s">
        <v>46</v>
      </c>
      <c r="E219" s="124" t="s">
        <v>44</v>
      </c>
      <c r="F219" s="124" t="s">
        <v>47</v>
      </c>
    </row>
    <row r="220" spans="1:6" ht="18" customHeight="1" x14ac:dyDescent="0.2">
      <c r="B220" s="115"/>
      <c r="C220" s="125"/>
      <c r="D220" s="125"/>
      <c r="E220" s="125"/>
      <c r="F220" s="125"/>
    </row>
    <row r="221" spans="1:6" ht="18" customHeight="1" thickBot="1" x14ac:dyDescent="0.25">
      <c r="B221" s="116"/>
      <c r="C221" s="126"/>
      <c r="D221" s="126"/>
      <c r="E221" s="126"/>
      <c r="F221" s="126"/>
    </row>
    <row r="222" spans="1:6" ht="18" customHeight="1" x14ac:dyDescent="0.2">
      <c r="B222" s="122" t="s">
        <v>4</v>
      </c>
      <c r="C222" s="127">
        <f>SUM(C224:C229)</f>
        <v>12539115</v>
      </c>
      <c r="D222" s="127">
        <f>SUM(D224:D229)</f>
        <v>-663636.93999999994</v>
      </c>
      <c r="E222" s="127">
        <f>SUM(E224:E229)</f>
        <v>11875478.059999999</v>
      </c>
      <c r="F222" s="127">
        <f>SUM(F224:F229)</f>
        <v>11875478.059999999</v>
      </c>
    </row>
    <row r="223" spans="1:6" ht="18" customHeight="1" thickBot="1" x14ac:dyDescent="0.25">
      <c r="B223" s="123"/>
      <c r="C223" s="128"/>
      <c r="D223" s="128"/>
      <c r="E223" s="128"/>
      <c r="F223" s="128"/>
    </row>
    <row r="224" spans="1:6" ht="18" customHeight="1" x14ac:dyDescent="0.25">
      <c r="B224" s="14" t="s">
        <v>31</v>
      </c>
      <c r="C224" s="40">
        <v>11017530</v>
      </c>
      <c r="D224" s="40">
        <v>-631094.88</v>
      </c>
      <c r="E224" s="40">
        <f t="shared" ref="E224:E229" si="18">C224+D224</f>
        <v>10386435.119999999</v>
      </c>
      <c r="F224" s="40">
        <v>10386435.119999999</v>
      </c>
    </row>
    <row r="225" spans="2:6" ht="18" customHeight="1" x14ac:dyDescent="0.25">
      <c r="B225" s="7" t="s">
        <v>32</v>
      </c>
      <c r="C225" s="40"/>
      <c r="D225" s="40"/>
      <c r="E225" s="40">
        <f t="shared" si="18"/>
        <v>0</v>
      </c>
      <c r="F225" s="40"/>
    </row>
    <row r="226" spans="2:6" ht="18" customHeight="1" x14ac:dyDescent="0.25">
      <c r="B226" s="7" t="s">
        <v>40</v>
      </c>
      <c r="C226" s="40"/>
      <c r="D226" s="40"/>
      <c r="E226" s="40">
        <f t="shared" si="18"/>
        <v>0</v>
      </c>
      <c r="F226" s="40"/>
    </row>
    <row r="227" spans="2:6" ht="18" customHeight="1" x14ac:dyDescent="0.25">
      <c r="B227" s="7" t="s">
        <v>33</v>
      </c>
      <c r="C227" s="40">
        <v>1007415</v>
      </c>
      <c r="D227" s="40">
        <v>-129063.63</v>
      </c>
      <c r="E227" s="40">
        <f t="shared" si="18"/>
        <v>878351.37</v>
      </c>
      <c r="F227" s="40">
        <v>878351.37</v>
      </c>
    </row>
    <row r="228" spans="2:6" ht="18" customHeight="1" x14ac:dyDescent="0.25">
      <c r="B228" s="8" t="s">
        <v>34</v>
      </c>
      <c r="C228" s="40">
        <v>514170</v>
      </c>
      <c r="D228" s="40">
        <v>2253.0100000000002</v>
      </c>
      <c r="E228" s="40">
        <f t="shared" si="18"/>
        <v>516423.01</v>
      </c>
      <c r="F228" s="40">
        <v>516423.01</v>
      </c>
    </row>
    <row r="229" spans="2:6" ht="18" customHeight="1" thickBot="1" x14ac:dyDescent="0.3">
      <c r="B229" s="23" t="s">
        <v>35</v>
      </c>
      <c r="C229" s="51"/>
      <c r="D229" s="40">
        <v>94268.56</v>
      </c>
      <c r="E229" s="40">
        <f t="shared" si="18"/>
        <v>94268.56</v>
      </c>
      <c r="F229" s="51">
        <v>94268.56</v>
      </c>
    </row>
    <row r="230" spans="2:6" ht="18" customHeight="1" x14ac:dyDescent="0.2">
      <c r="B230" s="122" t="s">
        <v>29</v>
      </c>
      <c r="C230" s="127">
        <f>C232+C237+C239+C245+C248+C251</f>
        <v>14914567</v>
      </c>
      <c r="D230" s="127">
        <f t="shared" ref="D230:F230" si="19">D232+D237+D239+D245+D248+D251</f>
        <v>977983.33</v>
      </c>
      <c r="E230" s="127">
        <f t="shared" si="19"/>
        <v>15892550.33</v>
      </c>
      <c r="F230" s="127">
        <f t="shared" si="19"/>
        <v>15892350.33</v>
      </c>
    </row>
    <row r="231" spans="2:6" ht="18" customHeight="1" thickBot="1" x14ac:dyDescent="0.25">
      <c r="B231" s="123"/>
      <c r="C231" s="128"/>
      <c r="D231" s="128"/>
      <c r="E231" s="128"/>
      <c r="F231" s="128"/>
    </row>
    <row r="232" spans="2:6" ht="18" customHeight="1" x14ac:dyDescent="0.25">
      <c r="B232" s="6" t="s">
        <v>11</v>
      </c>
      <c r="C232" s="41">
        <f>SUM(C233:C236)</f>
        <v>1370288</v>
      </c>
      <c r="D232" s="41">
        <f>SUM(D233:D236)</f>
        <v>236774.62999999998</v>
      </c>
      <c r="E232" s="41">
        <f>SUM(E233:E236)</f>
        <v>1607062.63</v>
      </c>
      <c r="F232" s="41">
        <f>SUM(F233:F236)</f>
        <v>1606862.63</v>
      </c>
    </row>
    <row r="233" spans="2:6" ht="18" customHeight="1" x14ac:dyDescent="0.25">
      <c r="B233" s="7" t="s">
        <v>5</v>
      </c>
      <c r="C233" s="42">
        <v>626308</v>
      </c>
      <c r="D233" s="42">
        <v>183383.09</v>
      </c>
      <c r="E233" s="42">
        <f>C233+D233</f>
        <v>809691.09</v>
      </c>
      <c r="F233" s="42">
        <v>809691.09</v>
      </c>
    </row>
    <row r="234" spans="2:6" ht="18" customHeight="1" x14ac:dyDescent="0.25">
      <c r="B234" s="7" t="s">
        <v>6</v>
      </c>
      <c r="C234" s="42">
        <v>607120</v>
      </c>
      <c r="D234" s="42">
        <v>63272.39</v>
      </c>
      <c r="E234" s="42">
        <f>C234+D234</f>
        <v>670392.39</v>
      </c>
      <c r="F234" s="42">
        <v>670192.39</v>
      </c>
    </row>
    <row r="235" spans="2:6" ht="18" customHeight="1" x14ac:dyDescent="0.25">
      <c r="B235" s="7" t="s">
        <v>7</v>
      </c>
      <c r="C235" s="42">
        <v>134160</v>
      </c>
      <c r="D235" s="42">
        <v>-8934.8700000000008</v>
      </c>
      <c r="E235" s="42">
        <f>C235+D235</f>
        <v>125225.13</v>
      </c>
      <c r="F235" s="42">
        <v>125225.13</v>
      </c>
    </row>
    <row r="236" spans="2:6" ht="18" customHeight="1" x14ac:dyDescent="0.25">
      <c r="B236" s="8" t="s">
        <v>8</v>
      </c>
      <c r="C236" s="42">
        <v>2700</v>
      </c>
      <c r="D236" s="42">
        <v>-945.98</v>
      </c>
      <c r="E236" s="42">
        <f>C236+D236</f>
        <v>1754.02</v>
      </c>
      <c r="F236" s="42">
        <v>1754.02</v>
      </c>
    </row>
    <row r="237" spans="2:6" ht="18" customHeight="1" x14ac:dyDescent="0.25">
      <c r="B237" s="9" t="s">
        <v>12</v>
      </c>
      <c r="C237" s="43">
        <f>SUM(C238)</f>
        <v>12668418</v>
      </c>
      <c r="D237" s="43">
        <f>SUM(D238)</f>
        <v>891487.21</v>
      </c>
      <c r="E237" s="43">
        <f>SUM(E238)</f>
        <v>13559905.210000001</v>
      </c>
      <c r="F237" s="43">
        <f>SUM(F238)</f>
        <v>13559905.210000001</v>
      </c>
    </row>
    <row r="238" spans="2:6" ht="18" customHeight="1" x14ac:dyDescent="0.25">
      <c r="B238" s="10" t="s">
        <v>16</v>
      </c>
      <c r="C238" s="42">
        <f>12668418</f>
        <v>12668418</v>
      </c>
      <c r="D238" s="42">
        <f>341163.5+550323.71</f>
        <v>891487.21</v>
      </c>
      <c r="E238" s="42">
        <f>C238+D238</f>
        <v>13559905.210000001</v>
      </c>
      <c r="F238" s="42">
        <f>13009581.5+550323.71</f>
        <v>13559905.210000001</v>
      </c>
    </row>
    <row r="239" spans="2:6" ht="18" customHeight="1" x14ac:dyDescent="0.25">
      <c r="B239" s="11" t="s">
        <v>21</v>
      </c>
      <c r="C239" s="44">
        <f>SUM(C240:C244)</f>
        <v>469388</v>
      </c>
      <c r="D239" s="44">
        <f>SUM(D240:D244)</f>
        <v>-176597.34999999998</v>
      </c>
      <c r="E239" s="44">
        <f>SUM(E240:E244)</f>
        <v>292790.65000000002</v>
      </c>
      <c r="F239" s="44">
        <f>SUM(F240:F244)</f>
        <v>292790.65000000002</v>
      </c>
    </row>
    <row r="240" spans="2:6" ht="18" customHeight="1" x14ac:dyDescent="0.25">
      <c r="B240" s="8" t="s">
        <v>20</v>
      </c>
      <c r="C240" s="42">
        <v>28840</v>
      </c>
      <c r="D240" s="42">
        <v>5757.44</v>
      </c>
      <c r="E240" s="42">
        <f>C240+D240</f>
        <v>34597.440000000002</v>
      </c>
      <c r="F240" s="42">
        <v>34597.440000000002</v>
      </c>
    </row>
    <row r="241" spans="2:6" ht="18" customHeight="1" x14ac:dyDescent="0.25">
      <c r="B241" s="8" t="s">
        <v>30</v>
      </c>
      <c r="C241" s="42">
        <v>30520</v>
      </c>
      <c r="D241" s="42">
        <v>-9086.4599999999991</v>
      </c>
      <c r="E241" s="42">
        <f>C241+D241</f>
        <v>21433.54</v>
      </c>
      <c r="F241" s="42">
        <v>21433.54</v>
      </c>
    </row>
    <row r="242" spans="2:6" ht="18" customHeight="1" x14ac:dyDescent="0.25">
      <c r="B242" s="8" t="s">
        <v>19</v>
      </c>
      <c r="C242" s="42">
        <f>149935+17100</f>
        <v>167035</v>
      </c>
      <c r="D242" s="42">
        <f>-17534.47+12390.03</f>
        <v>-5144.4400000000005</v>
      </c>
      <c r="E242" s="42">
        <f t="shared" ref="E242:E244" si="20">C242+D242</f>
        <v>161890.56</v>
      </c>
      <c r="F242" s="42">
        <f>132400.53+29490.03</f>
        <v>161890.56</v>
      </c>
    </row>
    <row r="243" spans="2:6" ht="18" customHeight="1" x14ac:dyDescent="0.25">
      <c r="B243" s="8" t="s">
        <v>17</v>
      </c>
      <c r="C243" s="42">
        <v>149873</v>
      </c>
      <c r="D243" s="42">
        <v>-144149.5</v>
      </c>
      <c r="E243" s="42">
        <f t="shared" si="20"/>
        <v>5723.5</v>
      </c>
      <c r="F243" s="42">
        <v>5723.5</v>
      </c>
    </row>
    <row r="244" spans="2:6" ht="18" customHeight="1" x14ac:dyDescent="0.25">
      <c r="B244" s="8" t="s">
        <v>18</v>
      </c>
      <c r="C244" s="42">
        <v>93120</v>
      </c>
      <c r="D244" s="42">
        <v>-23974.39</v>
      </c>
      <c r="E244" s="42">
        <f t="shared" si="20"/>
        <v>69145.61</v>
      </c>
      <c r="F244" s="42">
        <v>69145.61</v>
      </c>
    </row>
    <row r="245" spans="2:6" ht="18" customHeight="1" x14ac:dyDescent="0.25">
      <c r="B245" s="11" t="s">
        <v>26</v>
      </c>
      <c r="C245" s="44">
        <f>SUM(C246:C247)</f>
        <v>91398</v>
      </c>
      <c r="D245" s="44">
        <f>SUM(D246:D247)</f>
        <v>11678.28</v>
      </c>
      <c r="E245" s="44">
        <f>SUM(E246:E247)</f>
        <v>103076.28</v>
      </c>
      <c r="F245" s="44">
        <f>SUM(F246:F247)</f>
        <v>103076.28</v>
      </c>
    </row>
    <row r="246" spans="2:6" ht="18" customHeight="1" x14ac:dyDescent="0.25">
      <c r="B246" s="8" t="s">
        <v>27</v>
      </c>
      <c r="C246" s="42">
        <v>31398</v>
      </c>
      <c r="D246" s="42">
        <v>24219.27</v>
      </c>
      <c r="E246" s="42">
        <f>C246+D246</f>
        <v>55617.270000000004</v>
      </c>
      <c r="F246" s="42">
        <v>55617.27</v>
      </c>
    </row>
    <row r="247" spans="2:6" ht="18" customHeight="1" x14ac:dyDescent="0.25">
      <c r="B247" s="8" t="s">
        <v>28</v>
      </c>
      <c r="C247" s="42">
        <v>60000</v>
      </c>
      <c r="D247" s="42">
        <v>-12540.99</v>
      </c>
      <c r="E247" s="42">
        <f>C247+D247</f>
        <v>47459.01</v>
      </c>
      <c r="F247" s="42">
        <v>47459.01</v>
      </c>
    </row>
    <row r="248" spans="2:6" ht="18" customHeight="1" x14ac:dyDescent="0.25">
      <c r="B248" s="11" t="s">
        <v>13</v>
      </c>
      <c r="C248" s="44">
        <f>SUM(C249:C250)</f>
        <v>189000</v>
      </c>
      <c r="D248" s="44">
        <f>SUM(D249:D250)</f>
        <v>-6893</v>
      </c>
      <c r="E248" s="44">
        <f>SUM(E249:E250)</f>
        <v>182107</v>
      </c>
      <c r="F248" s="44">
        <f>SUM(F249:F250)</f>
        <v>182107</v>
      </c>
    </row>
    <row r="249" spans="2:6" ht="18" customHeight="1" x14ac:dyDescent="0.25">
      <c r="B249" s="8" t="s">
        <v>9</v>
      </c>
      <c r="C249" s="42">
        <v>58050</v>
      </c>
      <c r="D249" s="42">
        <v>-6893</v>
      </c>
      <c r="E249" s="42">
        <f>C249+D249</f>
        <v>51157</v>
      </c>
      <c r="F249" s="42">
        <v>51157</v>
      </c>
    </row>
    <row r="250" spans="2:6" ht="18" customHeight="1" x14ac:dyDescent="0.25">
      <c r="B250" s="8" t="s">
        <v>10</v>
      </c>
      <c r="C250" s="42">
        <v>130950</v>
      </c>
      <c r="D250" s="42"/>
      <c r="E250" s="42">
        <f>C250+D250</f>
        <v>130950</v>
      </c>
      <c r="F250" s="42">
        <v>130950</v>
      </c>
    </row>
    <row r="251" spans="2:6" ht="18" customHeight="1" thickBot="1" x14ac:dyDescent="0.3">
      <c r="B251" s="15" t="s">
        <v>14</v>
      </c>
      <c r="C251" s="52">
        <f>28385+3040+5025+61125+28500</f>
        <v>126075</v>
      </c>
      <c r="D251" s="52">
        <f>+(146.8+6618.25+504.45+4544.79+5197.5+6316.9+195.06+806.28+3691.92+2288.06+888.32+3800.32+491.73+887.25+30950.9+4361)-(22572.64+213.65+27369.68)</f>
        <v>21533.560000000012</v>
      </c>
      <c r="E251" s="42">
        <f>C251+D251</f>
        <v>147608.56</v>
      </c>
      <c r="F251" s="38">
        <f>146.8+6618.25+504.45+4544.79+5812.36+5197.5+6316.9+195.06+2826.35+806.28+3691.92+2288.06+888.32+8825.32+491.73+33755.32+887.25+59450.9+4361</f>
        <v>147608.56</v>
      </c>
    </row>
    <row r="252" spans="2:6" ht="18" customHeight="1" thickBot="1" x14ac:dyDescent="0.35">
      <c r="B252" s="12" t="s">
        <v>22</v>
      </c>
      <c r="C252" s="46">
        <f>SUM(C253:C255)</f>
        <v>159113</v>
      </c>
      <c r="D252" s="46">
        <f>SUM(D253:D255)</f>
        <v>35623.21</v>
      </c>
      <c r="E252" s="46">
        <f>SUM(E253:E255)</f>
        <v>194736.21</v>
      </c>
      <c r="F252" s="46">
        <f>SUM(F253:F255)</f>
        <v>194736.21</v>
      </c>
    </row>
    <row r="253" spans="2:6" ht="18" customHeight="1" x14ac:dyDescent="0.25">
      <c r="B253" s="16" t="s">
        <v>15</v>
      </c>
      <c r="C253" s="47">
        <v>135413</v>
      </c>
      <c r="D253" s="47">
        <v>2248.84</v>
      </c>
      <c r="E253" s="47">
        <f>C253+D253</f>
        <v>137661.84</v>
      </c>
      <c r="F253" s="47">
        <v>137661.84</v>
      </c>
    </row>
    <row r="254" spans="2:6" ht="18" customHeight="1" x14ac:dyDescent="0.25">
      <c r="B254" s="16" t="s">
        <v>37</v>
      </c>
      <c r="C254" s="48"/>
      <c r="D254" s="48">
        <v>830.72</v>
      </c>
      <c r="E254" s="47">
        <f>C254+D254</f>
        <v>830.72</v>
      </c>
      <c r="F254" s="48">
        <v>830.72</v>
      </c>
    </row>
    <row r="255" spans="2:6" ht="18" customHeight="1" thickBot="1" x14ac:dyDescent="0.3">
      <c r="B255" s="17" t="s">
        <v>23</v>
      </c>
      <c r="C255" s="49">
        <v>23700</v>
      </c>
      <c r="D255" s="49">
        <v>32543.65</v>
      </c>
      <c r="E255" s="49">
        <f>C255+D255</f>
        <v>56243.65</v>
      </c>
      <c r="F255" s="49">
        <v>56243.65</v>
      </c>
    </row>
    <row r="256" spans="2:6" ht="18" customHeight="1" thickBot="1" x14ac:dyDescent="0.35">
      <c r="B256" s="12" t="s">
        <v>24</v>
      </c>
      <c r="C256" s="46">
        <f>SUM(C257)</f>
        <v>2696</v>
      </c>
      <c r="D256" s="46">
        <f>SUM(D257)</f>
        <v>-856.35</v>
      </c>
      <c r="E256" s="46">
        <f>SUM(E257)</f>
        <v>1839.65</v>
      </c>
      <c r="F256" s="46">
        <f>SUM(F257)</f>
        <v>1839.65</v>
      </c>
    </row>
    <row r="257" spans="2:6" ht="18" customHeight="1" thickBot="1" x14ac:dyDescent="0.3">
      <c r="B257" s="18" t="s">
        <v>25</v>
      </c>
      <c r="C257" s="49">
        <v>2696</v>
      </c>
      <c r="D257" s="49">
        <v>-856.35</v>
      </c>
      <c r="E257" s="49">
        <f>C257+D257</f>
        <v>1839.65</v>
      </c>
      <c r="F257" s="49">
        <v>1839.65</v>
      </c>
    </row>
    <row r="258" spans="2:6" ht="18" customHeight="1" thickBot="1" x14ac:dyDescent="0.35">
      <c r="B258" s="12" t="s">
        <v>38</v>
      </c>
      <c r="C258" s="46">
        <f>SUM(C259:C262)</f>
        <v>0</v>
      </c>
      <c r="D258" s="46">
        <f t="shared" ref="D258:F258" si="21">SUM(D259:D262)</f>
        <v>2977.0299999999997</v>
      </c>
      <c r="E258" s="46">
        <f t="shared" si="21"/>
        <v>2977.0299999999997</v>
      </c>
      <c r="F258" s="46">
        <f t="shared" si="21"/>
        <v>2977.0299999999997</v>
      </c>
    </row>
    <row r="259" spans="2:6" ht="18" customHeight="1" x14ac:dyDescent="0.25">
      <c r="B259" s="16" t="s">
        <v>42</v>
      </c>
      <c r="C259" s="50"/>
      <c r="D259" s="50"/>
      <c r="E259" s="47">
        <f t="shared" ref="E259:E262" si="22">C259+D259</f>
        <v>0</v>
      </c>
      <c r="F259" s="50"/>
    </row>
    <row r="260" spans="2:6" ht="18" customHeight="1" x14ac:dyDescent="0.25">
      <c r="B260" s="25" t="s">
        <v>45</v>
      </c>
      <c r="C260" s="47"/>
      <c r="D260" s="47">
        <v>1504</v>
      </c>
      <c r="E260" s="47">
        <f t="shared" si="22"/>
        <v>1504</v>
      </c>
      <c r="F260" s="47">
        <v>1504</v>
      </c>
    </row>
    <row r="261" spans="2:6" ht="18" customHeight="1" x14ac:dyDescent="0.25">
      <c r="B261" s="25" t="s">
        <v>43</v>
      </c>
      <c r="C261" s="48"/>
      <c r="D261" s="48">
        <v>1473.03</v>
      </c>
      <c r="E261" s="47">
        <f t="shared" si="22"/>
        <v>1473.03</v>
      </c>
      <c r="F261" s="48">
        <v>1473.03</v>
      </c>
    </row>
    <row r="262" spans="2:6" ht="18" customHeight="1" thickBot="1" x14ac:dyDescent="0.3">
      <c r="B262" s="16" t="s">
        <v>39</v>
      </c>
      <c r="C262" s="49"/>
      <c r="D262" s="49"/>
      <c r="E262" s="47">
        <f t="shared" si="22"/>
        <v>0</v>
      </c>
      <c r="F262" s="49"/>
    </row>
    <row r="263" spans="2:6" ht="18" customHeight="1" thickBot="1" x14ac:dyDescent="0.35">
      <c r="B263" s="13" t="s">
        <v>3</v>
      </c>
      <c r="C263" s="3">
        <f>SUM(C222+C230+C252+C256+C258)</f>
        <v>27615491</v>
      </c>
      <c r="D263" s="3">
        <f>SUM(D222+D230+D252+D256+D258)</f>
        <v>352090.28000000009</v>
      </c>
      <c r="E263" s="3">
        <f>SUM(E222+E230+E252+E256+E258)</f>
        <v>27967581.280000001</v>
      </c>
      <c r="F263" s="3">
        <f>SUM(F222+F230+F252+F256+F258)</f>
        <v>27967381.280000001</v>
      </c>
    </row>
    <row r="265" spans="2:6" ht="18" customHeight="1" x14ac:dyDescent="0.25">
      <c r="B265" s="33" t="s">
        <v>63</v>
      </c>
      <c r="C265" s="31"/>
      <c r="D265" s="31"/>
    </row>
    <row r="266" spans="2:6" ht="18" customHeight="1" x14ac:dyDescent="0.25">
      <c r="B266" s="34" t="s">
        <v>64</v>
      </c>
      <c r="C266" s="31"/>
      <c r="D266" s="31"/>
    </row>
    <row r="267" spans="2:6" ht="18" customHeight="1" thickBot="1" x14ac:dyDescent="0.25">
      <c r="B267" s="1"/>
      <c r="C267" s="1"/>
      <c r="D267" s="1"/>
    </row>
    <row r="268" spans="2:6" ht="18" customHeight="1" x14ac:dyDescent="0.2">
      <c r="B268" s="114" t="s">
        <v>52</v>
      </c>
      <c r="C268" s="124" t="s">
        <v>48</v>
      </c>
      <c r="D268" s="124" t="s">
        <v>46</v>
      </c>
      <c r="E268" s="124" t="s">
        <v>44</v>
      </c>
      <c r="F268" s="124" t="s">
        <v>47</v>
      </c>
    </row>
    <row r="269" spans="2:6" ht="18" customHeight="1" x14ac:dyDescent="0.2">
      <c r="B269" s="115"/>
      <c r="C269" s="125"/>
      <c r="D269" s="125"/>
      <c r="E269" s="125"/>
      <c r="F269" s="125"/>
    </row>
    <row r="270" spans="2:6" ht="18" customHeight="1" thickBot="1" x14ac:dyDescent="0.25">
      <c r="B270" s="116"/>
      <c r="C270" s="126"/>
      <c r="D270" s="126"/>
      <c r="E270" s="126"/>
      <c r="F270" s="126"/>
    </row>
    <row r="271" spans="2:6" ht="18" customHeight="1" thickBot="1" x14ac:dyDescent="0.35">
      <c r="B271" s="12" t="s">
        <v>38</v>
      </c>
      <c r="C271" s="46">
        <f>SUM(C272:C275)</f>
        <v>100</v>
      </c>
      <c r="D271" s="46">
        <f>SUM(D272:D275)</f>
        <v>0</v>
      </c>
      <c r="E271" s="46">
        <f>SUM(E272:E275)</f>
        <v>100</v>
      </c>
      <c r="F271" s="46">
        <f>SUM(F272:F275)</f>
        <v>0</v>
      </c>
    </row>
    <row r="272" spans="2:6" ht="18" customHeight="1" thickBot="1" x14ac:dyDescent="0.35">
      <c r="B272" s="16" t="s">
        <v>42</v>
      </c>
      <c r="C272" s="50"/>
      <c r="D272" s="50"/>
      <c r="E272" s="46">
        <f t="shared" ref="E272:E275" si="23">+C272-D272</f>
        <v>0</v>
      </c>
      <c r="F272" s="50"/>
    </row>
    <row r="273" spans="2:6" ht="18" customHeight="1" thickBot="1" x14ac:dyDescent="0.35">
      <c r="B273" s="25" t="s">
        <v>45</v>
      </c>
      <c r="C273" s="47"/>
      <c r="D273" s="47"/>
      <c r="E273" s="46">
        <f t="shared" si="23"/>
        <v>0</v>
      </c>
      <c r="F273" s="47"/>
    </row>
    <row r="274" spans="2:6" ht="18" customHeight="1" thickBot="1" x14ac:dyDescent="0.35">
      <c r="B274" s="25" t="s">
        <v>43</v>
      </c>
      <c r="C274" s="48"/>
      <c r="D274" s="48"/>
      <c r="E274" s="46">
        <f t="shared" si="23"/>
        <v>0</v>
      </c>
      <c r="F274" s="48"/>
    </row>
    <row r="275" spans="2:6" ht="18" customHeight="1" thickBot="1" x14ac:dyDescent="0.3">
      <c r="B275" s="16" t="s">
        <v>65</v>
      </c>
      <c r="C275" s="49">
        <v>100</v>
      </c>
      <c r="D275" s="49"/>
      <c r="E275" s="49">
        <f t="shared" si="23"/>
        <v>100</v>
      </c>
      <c r="F275" s="49"/>
    </row>
    <row r="276" spans="2:6" ht="18" customHeight="1" thickBot="1" x14ac:dyDescent="0.35">
      <c r="B276" s="13" t="s">
        <v>3</v>
      </c>
      <c r="C276" s="3">
        <f>+C271</f>
        <v>100</v>
      </c>
      <c r="D276" s="3">
        <f>+D271</f>
        <v>0</v>
      </c>
      <c r="E276" s="3">
        <f>+E271</f>
        <v>100</v>
      </c>
      <c r="F276" s="3">
        <f>+F271</f>
        <v>0</v>
      </c>
    </row>
  </sheetData>
  <mergeCells count="82">
    <mergeCell ref="B268:B270"/>
    <mergeCell ref="C268:C270"/>
    <mergeCell ref="D268:D270"/>
    <mergeCell ref="E268:E270"/>
    <mergeCell ref="F268:F270"/>
    <mergeCell ref="B198:B200"/>
    <mergeCell ref="C198:C200"/>
    <mergeCell ref="D198:D200"/>
    <mergeCell ref="E198:E200"/>
    <mergeCell ref="F198:F200"/>
    <mergeCell ref="B222:B223"/>
    <mergeCell ref="C222:C223"/>
    <mergeCell ref="D222:D223"/>
    <mergeCell ref="E222:E223"/>
    <mergeCell ref="F222:F223"/>
    <mergeCell ref="B230:B231"/>
    <mergeCell ref="C230:C231"/>
    <mergeCell ref="D230:D231"/>
    <mergeCell ref="E230:E231"/>
    <mergeCell ref="F230:F231"/>
    <mergeCell ref="A214:E214"/>
    <mergeCell ref="B215:C215"/>
    <mergeCell ref="E215:F215"/>
    <mergeCell ref="B219:B221"/>
    <mergeCell ref="C219:C221"/>
    <mergeCell ref="D219:D221"/>
    <mergeCell ref="E219:E221"/>
    <mergeCell ref="F219:F221"/>
    <mergeCell ref="B151:B152"/>
    <mergeCell ref="C151:C152"/>
    <mergeCell ref="D151:D152"/>
    <mergeCell ref="E151:E152"/>
    <mergeCell ref="F151:F152"/>
    <mergeCell ref="B159:B160"/>
    <mergeCell ref="C159:C160"/>
    <mergeCell ref="D159:D160"/>
    <mergeCell ref="E159:E160"/>
    <mergeCell ref="F159:F160"/>
    <mergeCell ref="A143:E143"/>
    <mergeCell ref="B144:C144"/>
    <mergeCell ref="E144:F144"/>
    <mergeCell ref="B148:B150"/>
    <mergeCell ref="C148:C150"/>
    <mergeCell ref="D148:D150"/>
    <mergeCell ref="E148:E150"/>
    <mergeCell ref="F148:F150"/>
    <mergeCell ref="B80:B81"/>
    <mergeCell ref="C80:C81"/>
    <mergeCell ref="D80:D81"/>
    <mergeCell ref="E80:E81"/>
    <mergeCell ref="F80:F81"/>
    <mergeCell ref="B88:B89"/>
    <mergeCell ref="C88:C89"/>
    <mergeCell ref="D88:D89"/>
    <mergeCell ref="E88:E89"/>
    <mergeCell ref="F88:F89"/>
    <mergeCell ref="A72:E72"/>
    <mergeCell ref="B73:C73"/>
    <mergeCell ref="E73:F73"/>
    <mergeCell ref="B77:B79"/>
    <mergeCell ref="C77:C79"/>
    <mergeCell ref="D77:D79"/>
    <mergeCell ref="E77:E79"/>
    <mergeCell ref="F77:F79"/>
    <mergeCell ref="B14:B15"/>
    <mergeCell ref="C14:C15"/>
    <mergeCell ref="D14:D15"/>
    <mergeCell ref="E14:E15"/>
    <mergeCell ref="F14:F15"/>
    <mergeCell ref="B22:B23"/>
    <mergeCell ref="C22:C23"/>
    <mergeCell ref="D22:D23"/>
    <mergeCell ref="E22:E23"/>
    <mergeCell ref="F22:F23"/>
    <mergeCell ref="A6:E6"/>
    <mergeCell ref="B7:C7"/>
    <mergeCell ref="E7:F7"/>
    <mergeCell ref="B11:B13"/>
    <mergeCell ref="C11:C13"/>
    <mergeCell ref="D11:D13"/>
    <mergeCell ref="E11:E13"/>
    <mergeCell ref="F11:F13"/>
  </mergeCells>
  <pageMargins left="0.39370078740157483" right="0" top="0" bottom="0" header="0" footer="0"/>
  <pageSetup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opLeftCell="C202" workbookViewId="0">
      <selection activeCell="G211" sqref="G211"/>
    </sheetView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4" width="23.85546875" customWidth="1"/>
    <col min="5" max="5" width="23.85546875" style="38" customWidth="1"/>
    <col min="6" max="6" width="23" style="38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57</v>
      </c>
      <c r="B5" s="32"/>
      <c r="C5" s="32"/>
      <c r="D5" s="32"/>
      <c r="E5" s="39"/>
    </row>
    <row r="6" spans="1:6" ht="21.75" customHeight="1" x14ac:dyDescent="0.35">
      <c r="A6" s="112" t="s">
        <v>51</v>
      </c>
      <c r="B6" s="112"/>
      <c r="C6" s="112"/>
      <c r="D6" s="112"/>
      <c r="E6" s="112"/>
    </row>
    <row r="7" spans="1:6" ht="32.25" customHeight="1" x14ac:dyDescent="0.4">
      <c r="B7" s="113"/>
      <c r="C7" s="113"/>
      <c r="D7" s="37"/>
      <c r="E7" s="112" t="s">
        <v>49</v>
      </c>
      <c r="F7" s="112"/>
    </row>
    <row r="8" spans="1:6" ht="18" customHeight="1" x14ac:dyDescent="0.25">
      <c r="B8" s="33" t="s">
        <v>0</v>
      </c>
      <c r="C8" s="31"/>
      <c r="D8" s="31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114" t="s">
        <v>52</v>
      </c>
      <c r="C11" s="117" t="s">
        <v>48</v>
      </c>
      <c r="D11" s="117" t="s">
        <v>46</v>
      </c>
      <c r="E11" s="124" t="s">
        <v>44</v>
      </c>
      <c r="F11" s="124" t="s">
        <v>47</v>
      </c>
    </row>
    <row r="12" spans="1:6" ht="18" customHeight="1" x14ac:dyDescent="0.2">
      <c r="B12" s="115"/>
      <c r="C12" s="118"/>
      <c r="D12" s="118"/>
      <c r="E12" s="125"/>
      <c r="F12" s="125"/>
    </row>
    <row r="13" spans="1:6" ht="6" customHeight="1" thickBot="1" x14ac:dyDescent="0.25">
      <c r="B13" s="116"/>
      <c r="C13" s="119"/>
      <c r="D13" s="119"/>
      <c r="E13" s="126"/>
      <c r="F13" s="126"/>
    </row>
    <row r="14" spans="1:6" ht="18" customHeight="1" x14ac:dyDescent="0.2">
      <c r="B14" s="122" t="s">
        <v>4</v>
      </c>
      <c r="C14" s="120">
        <f>SUM(C16:C21)</f>
        <v>1375328</v>
      </c>
      <c r="D14" s="120">
        <f>SUM(D16:D21)</f>
        <v>-100115.04</v>
      </c>
      <c r="E14" s="127">
        <f>SUM(E16:E21)</f>
        <v>1275212.96</v>
      </c>
      <c r="F14" s="127">
        <f>SUM(F16:F21)</f>
        <v>1275212.96</v>
      </c>
    </row>
    <row r="15" spans="1:6" ht="18" customHeight="1" thickBot="1" x14ac:dyDescent="0.25">
      <c r="B15" s="123"/>
      <c r="C15" s="121"/>
      <c r="D15" s="121"/>
      <c r="E15" s="128"/>
      <c r="F15" s="128"/>
    </row>
    <row r="16" spans="1:6" ht="18" customHeight="1" x14ac:dyDescent="0.25">
      <c r="B16" s="14" t="s">
        <v>31</v>
      </c>
      <c r="C16" s="40">
        <v>1208641</v>
      </c>
      <c r="D16" s="40">
        <v>-83748.06</v>
      </c>
      <c r="E16" s="40">
        <f t="shared" ref="E16:E21" si="0">C16+D16</f>
        <v>1124892.94</v>
      </c>
      <c r="F16" s="40">
        <v>1124892.94</v>
      </c>
    </row>
    <row r="17" spans="2:6" ht="18" customHeight="1" x14ac:dyDescent="0.25">
      <c r="B17" s="7" t="s">
        <v>32</v>
      </c>
      <c r="C17" s="40"/>
      <c r="D17" s="40"/>
      <c r="E17" s="40">
        <f t="shared" si="0"/>
        <v>0</v>
      </c>
      <c r="F17" s="40"/>
    </row>
    <row r="18" spans="2:6" ht="18" customHeight="1" x14ac:dyDescent="0.25">
      <c r="B18" s="7" t="s">
        <v>40</v>
      </c>
      <c r="C18" s="40"/>
      <c r="D18" s="40"/>
      <c r="E18" s="40">
        <f t="shared" si="0"/>
        <v>0</v>
      </c>
      <c r="F18" s="40"/>
    </row>
    <row r="19" spans="2:6" ht="18" customHeight="1" x14ac:dyDescent="0.25">
      <c r="B19" s="7" t="s">
        <v>33</v>
      </c>
      <c r="C19" s="40">
        <v>109446</v>
      </c>
      <c r="D19" s="40">
        <v>-15174.19</v>
      </c>
      <c r="E19" s="40">
        <f t="shared" si="0"/>
        <v>94271.81</v>
      </c>
      <c r="F19" s="40">
        <v>94271.81</v>
      </c>
    </row>
    <row r="20" spans="2:6" ht="18" customHeight="1" x14ac:dyDescent="0.25">
      <c r="B20" s="8" t="s">
        <v>34</v>
      </c>
      <c r="C20" s="40">
        <v>57241</v>
      </c>
      <c r="D20" s="40">
        <v>-1192.79</v>
      </c>
      <c r="E20" s="40">
        <f t="shared" si="0"/>
        <v>56048.21</v>
      </c>
      <c r="F20" s="40">
        <v>56048.21</v>
      </c>
    </row>
    <row r="21" spans="2:6" ht="18" customHeight="1" thickBot="1" x14ac:dyDescent="0.3">
      <c r="B21" s="23" t="s">
        <v>35</v>
      </c>
      <c r="C21" s="51"/>
      <c r="D21" s="40"/>
      <c r="E21" s="40">
        <f t="shared" si="0"/>
        <v>0</v>
      </c>
      <c r="F21" s="51">
        <v>0</v>
      </c>
    </row>
    <row r="22" spans="2:6" ht="18" customHeight="1" x14ac:dyDescent="0.2">
      <c r="B22" s="122" t="s">
        <v>29</v>
      </c>
      <c r="C22" s="127">
        <f>C24+C29+C31+C37+C40+C43</f>
        <v>238630</v>
      </c>
      <c r="D22" s="127">
        <f t="shared" ref="D22:F22" si="1">D24+D29+D31+D37+D40+D43</f>
        <v>335930.1</v>
      </c>
      <c r="E22" s="127">
        <f t="shared" si="1"/>
        <v>574560.10000000009</v>
      </c>
      <c r="F22" s="127">
        <f t="shared" si="1"/>
        <v>574560.10000000009</v>
      </c>
    </row>
    <row r="23" spans="2:6" ht="18" customHeight="1" thickBot="1" x14ac:dyDescent="0.25">
      <c r="B23" s="123"/>
      <c r="C23" s="128"/>
      <c r="D23" s="128"/>
      <c r="E23" s="128"/>
      <c r="F23" s="128"/>
    </row>
    <row r="24" spans="2:6" ht="18" customHeight="1" x14ac:dyDescent="0.25">
      <c r="B24" s="6" t="s">
        <v>11</v>
      </c>
      <c r="C24" s="41">
        <f>SUM(C25:C28)</f>
        <v>203095</v>
      </c>
      <c r="D24" s="41">
        <f>SUM(D25:D28)</f>
        <v>-16136.15</v>
      </c>
      <c r="E24" s="41">
        <f>SUM(E25:E28)</f>
        <v>186958.85</v>
      </c>
      <c r="F24" s="41">
        <f>SUM(F25:F28)</f>
        <v>186958.85</v>
      </c>
    </row>
    <row r="25" spans="2:6" ht="18" customHeight="1" x14ac:dyDescent="0.25">
      <c r="B25" s="7" t="s">
        <v>5</v>
      </c>
      <c r="C25" s="42">
        <v>95000</v>
      </c>
      <c r="D25" s="42">
        <v>1851.1</v>
      </c>
      <c r="E25" s="42">
        <f>C25+D25</f>
        <v>96851.1</v>
      </c>
      <c r="F25" s="42">
        <v>96851.1</v>
      </c>
    </row>
    <row r="26" spans="2:6" ht="18" customHeight="1" x14ac:dyDescent="0.25">
      <c r="B26" s="7" t="s">
        <v>6</v>
      </c>
      <c r="C26" s="42">
        <v>77800</v>
      </c>
      <c r="D26" s="42">
        <v>11794.91</v>
      </c>
      <c r="E26" s="42">
        <f>C26+D26</f>
        <v>89594.91</v>
      </c>
      <c r="F26" s="42">
        <v>89594.91</v>
      </c>
    </row>
    <row r="27" spans="2:6" ht="18" customHeight="1" x14ac:dyDescent="0.25">
      <c r="B27" s="7" t="s">
        <v>7</v>
      </c>
      <c r="C27" s="42">
        <v>29995</v>
      </c>
      <c r="D27" s="42">
        <v>-29695.18</v>
      </c>
      <c r="E27" s="42">
        <f>C27+D27</f>
        <v>299.81999999999971</v>
      </c>
      <c r="F27" s="42">
        <v>299.82</v>
      </c>
    </row>
    <row r="28" spans="2:6" ht="18" customHeight="1" x14ac:dyDescent="0.25">
      <c r="B28" s="8" t="s">
        <v>8</v>
      </c>
      <c r="C28" s="42">
        <v>300</v>
      </c>
      <c r="D28" s="42">
        <v>-86.98</v>
      </c>
      <c r="E28" s="42">
        <f>C28+D28</f>
        <v>213.01999999999998</v>
      </c>
      <c r="F28" s="42">
        <v>213.02</v>
      </c>
    </row>
    <row r="29" spans="2:6" ht="18" customHeight="1" x14ac:dyDescent="0.25">
      <c r="B29" s="9" t="s">
        <v>12</v>
      </c>
      <c r="C29" s="43">
        <f>SUM(C30)</f>
        <v>0</v>
      </c>
      <c r="D29" s="43">
        <f>SUM(D30)</f>
        <v>374208.94</v>
      </c>
      <c r="E29" s="43">
        <f>SUM(E30)</f>
        <v>374208.94</v>
      </c>
      <c r="F29" s="43">
        <f>SUM(F30)</f>
        <v>374208.94</v>
      </c>
    </row>
    <row r="30" spans="2:6" ht="18" customHeight="1" x14ac:dyDescent="0.25">
      <c r="B30" s="10" t="s">
        <v>16</v>
      </c>
      <c r="C30" s="42"/>
      <c r="D30" s="42">
        <v>374208.94</v>
      </c>
      <c r="E30" s="42">
        <f>C30+D30</f>
        <v>374208.94</v>
      </c>
      <c r="F30" s="42">
        <v>374208.94</v>
      </c>
    </row>
    <row r="31" spans="2:6" ht="18" customHeight="1" x14ac:dyDescent="0.25">
      <c r="B31" s="11" t="s">
        <v>21</v>
      </c>
      <c r="C31" s="44">
        <f>SUM(C32:C36)</f>
        <v>3870</v>
      </c>
      <c r="D31" s="44">
        <f>SUM(D32:D36)</f>
        <v>-2326.3999999999996</v>
      </c>
      <c r="E31" s="44">
        <f>SUM(E32:E36)</f>
        <v>1543.6</v>
      </c>
      <c r="F31" s="44">
        <f>SUM(F32:F36)</f>
        <v>1543.6</v>
      </c>
    </row>
    <row r="32" spans="2:6" ht="18" customHeight="1" x14ac:dyDescent="0.25">
      <c r="B32" s="8" t="s">
        <v>20</v>
      </c>
      <c r="C32" s="42">
        <v>3870</v>
      </c>
      <c r="D32" s="42">
        <v>-3870</v>
      </c>
      <c r="E32" s="42">
        <f>C32+D32</f>
        <v>0</v>
      </c>
      <c r="F32" s="42"/>
    </row>
    <row r="33" spans="2:6" ht="18" customHeight="1" x14ac:dyDescent="0.25">
      <c r="B33" s="8" t="s">
        <v>30</v>
      </c>
      <c r="C33" s="42"/>
      <c r="D33" s="42"/>
      <c r="E33" s="42">
        <f>C33+D33</f>
        <v>0</v>
      </c>
      <c r="F33" s="42"/>
    </row>
    <row r="34" spans="2:6" ht="18" customHeight="1" x14ac:dyDescent="0.25">
      <c r="B34" s="8" t="s">
        <v>19</v>
      </c>
      <c r="C34" s="42"/>
      <c r="D34" s="42">
        <v>239.82</v>
      </c>
      <c r="E34" s="42">
        <f t="shared" ref="E34:E36" si="2">C34+D34</f>
        <v>239.82</v>
      </c>
      <c r="F34" s="42">
        <v>239.82</v>
      </c>
    </row>
    <row r="35" spans="2:6" ht="18" customHeight="1" x14ac:dyDescent="0.25">
      <c r="B35" s="8" t="s">
        <v>17</v>
      </c>
      <c r="C35" s="42">
        <v>0</v>
      </c>
      <c r="D35" s="42">
        <v>622.5</v>
      </c>
      <c r="E35" s="42">
        <f t="shared" si="2"/>
        <v>622.5</v>
      </c>
      <c r="F35" s="42">
        <v>622.5</v>
      </c>
    </row>
    <row r="36" spans="2:6" ht="18" customHeight="1" x14ac:dyDescent="0.25">
      <c r="B36" s="8" t="s">
        <v>18</v>
      </c>
      <c r="C36" s="42"/>
      <c r="D36" s="42">
        <v>681.28</v>
      </c>
      <c r="E36" s="42">
        <f t="shared" si="2"/>
        <v>681.28</v>
      </c>
      <c r="F36" s="42">
        <v>681.28</v>
      </c>
    </row>
    <row r="37" spans="2:6" ht="18" customHeight="1" x14ac:dyDescent="0.25">
      <c r="B37" s="11" t="s">
        <v>26</v>
      </c>
      <c r="C37" s="44">
        <f>SUM(C38:C39)</f>
        <v>12800</v>
      </c>
      <c r="D37" s="44">
        <f>SUM(D38:D39)</f>
        <v>-12500.82</v>
      </c>
      <c r="E37" s="44">
        <f>SUM(E38:E39)</f>
        <v>299.17999999999984</v>
      </c>
      <c r="F37" s="44">
        <f>SUM(F38:F39)</f>
        <v>299.18</v>
      </c>
    </row>
    <row r="38" spans="2:6" ht="18" customHeight="1" x14ac:dyDescent="0.25">
      <c r="B38" s="8" t="s">
        <v>27</v>
      </c>
      <c r="C38" s="42">
        <v>2800</v>
      </c>
      <c r="D38" s="42">
        <v>-2500.8200000000002</v>
      </c>
      <c r="E38" s="42">
        <f>C38+D38</f>
        <v>299.17999999999984</v>
      </c>
      <c r="F38" s="42">
        <v>299.18</v>
      </c>
    </row>
    <row r="39" spans="2:6" ht="18" customHeight="1" x14ac:dyDescent="0.25">
      <c r="B39" s="8" t="s">
        <v>28</v>
      </c>
      <c r="C39" s="42">
        <v>10000</v>
      </c>
      <c r="D39" s="42">
        <v>-10000</v>
      </c>
      <c r="E39" s="42">
        <f>C39+D39</f>
        <v>0</v>
      </c>
      <c r="F39" s="42"/>
    </row>
    <row r="40" spans="2:6" ht="18" customHeight="1" x14ac:dyDescent="0.25">
      <c r="B40" s="11" t="s">
        <v>13</v>
      </c>
      <c r="C40" s="44">
        <f>SUM(C41:C42)</f>
        <v>0</v>
      </c>
      <c r="D40" s="44">
        <f>SUM(D41:D42)</f>
        <v>0</v>
      </c>
      <c r="E40" s="44">
        <f>SUM(E41:E42)</f>
        <v>0</v>
      </c>
      <c r="F40" s="44"/>
    </row>
    <row r="41" spans="2:6" ht="18" customHeight="1" x14ac:dyDescent="0.25">
      <c r="B41" s="8" t="s">
        <v>9</v>
      </c>
      <c r="C41" s="42"/>
      <c r="D41" s="42"/>
      <c r="E41" s="42">
        <f>C41+D41</f>
        <v>0</v>
      </c>
      <c r="F41" s="42"/>
    </row>
    <row r="42" spans="2:6" ht="18" customHeight="1" x14ac:dyDescent="0.25">
      <c r="B42" s="8" t="s">
        <v>10</v>
      </c>
      <c r="C42" s="42"/>
      <c r="D42" s="42"/>
      <c r="E42" s="42">
        <f>C42+D42</f>
        <v>0</v>
      </c>
      <c r="F42" s="42"/>
    </row>
    <row r="43" spans="2:6" ht="18" customHeight="1" thickBot="1" x14ac:dyDescent="0.3">
      <c r="B43" s="15" t="s">
        <v>14</v>
      </c>
      <c r="C43" s="52">
        <f>3190+7750+125+7800</f>
        <v>18865</v>
      </c>
      <c r="D43" s="52">
        <f>-87.1-7719-65.75-2682.62+3239</f>
        <v>-7315.4700000000012</v>
      </c>
      <c r="E43" s="45">
        <f>C43+D43</f>
        <v>11549.529999999999</v>
      </c>
      <c r="F43" s="52">
        <f>3102.9+31+59.25+5117.38+3239</f>
        <v>11549.53</v>
      </c>
    </row>
    <row r="44" spans="2:6" ht="30.75" customHeight="1" thickBot="1" x14ac:dyDescent="0.35">
      <c r="B44" s="12" t="s">
        <v>22</v>
      </c>
      <c r="C44" s="46">
        <f>SUM(C45:C47)</f>
        <v>0</v>
      </c>
      <c r="D44" s="46">
        <f>SUM(D45:D47)</f>
        <v>19432.939999999999</v>
      </c>
      <c r="E44" s="46">
        <f>SUM(E45:E47)</f>
        <v>19432.939999999999</v>
      </c>
      <c r="F44" s="46">
        <f>SUM(F45:F47)</f>
        <v>19432.939999999999</v>
      </c>
    </row>
    <row r="45" spans="2:6" ht="18" customHeight="1" x14ac:dyDescent="0.25">
      <c r="B45" s="16" t="s">
        <v>15</v>
      </c>
      <c r="C45" s="47"/>
      <c r="D45" s="47">
        <v>19432.939999999999</v>
      </c>
      <c r="E45" s="47">
        <f>C45+D45</f>
        <v>19432.939999999999</v>
      </c>
      <c r="F45" s="47">
        <v>19432.939999999999</v>
      </c>
    </row>
    <row r="46" spans="2:6" ht="18" customHeight="1" x14ac:dyDescent="0.25">
      <c r="B46" s="16" t="s">
        <v>37</v>
      </c>
      <c r="C46" s="48"/>
      <c r="D46" s="48"/>
      <c r="E46" s="48"/>
      <c r="F46" s="48"/>
    </row>
    <row r="47" spans="2:6" ht="18" customHeight="1" thickBot="1" x14ac:dyDescent="0.3">
      <c r="B47" s="17" t="s">
        <v>23</v>
      </c>
      <c r="C47" s="49"/>
      <c r="D47" s="49"/>
      <c r="E47" s="49">
        <f>C47+D47</f>
        <v>0</v>
      </c>
      <c r="F47" s="49"/>
    </row>
    <row r="48" spans="2:6" ht="30.75" customHeight="1" thickBot="1" x14ac:dyDescent="0.35">
      <c r="B48" s="12" t="s">
        <v>24</v>
      </c>
      <c r="C48" s="46">
        <f>SUM(C49)</f>
        <v>0</v>
      </c>
      <c r="D48" s="46">
        <f>SUM(D49)</f>
        <v>0</v>
      </c>
      <c r="E48" s="46">
        <f>SUM(E49)</f>
        <v>0</v>
      </c>
      <c r="F48" s="46">
        <f>SUM(F49)</f>
        <v>0</v>
      </c>
    </row>
    <row r="49" spans="2:6" ht="21.75" customHeight="1" thickBot="1" x14ac:dyDescent="0.3">
      <c r="B49" s="18" t="s">
        <v>25</v>
      </c>
      <c r="C49" s="49"/>
      <c r="D49" s="49"/>
      <c r="E49" s="49">
        <f>C49+D49</f>
        <v>0</v>
      </c>
      <c r="F49" s="49"/>
    </row>
    <row r="50" spans="2:6" ht="30.75" customHeight="1" thickBot="1" x14ac:dyDescent="0.35">
      <c r="B50" s="12" t="s">
        <v>38</v>
      </c>
      <c r="C50" s="46">
        <f>SUM(C51:C54)</f>
        <v>0</v>
      </c>
      <c r="D50" s="46"/>
      <c r="E50" s="46">
        <f>SUM(E51:E54)</f>
        <v>0</v>
      </c>
      <c r="F50" s="46"/>
    </row>
    <row r="51" spans="2:6" ht="21.75" customHeight="1" x14ac:dyDescent="0.25">
      <c r="B51" s="16" t="s">
        <v>42</v>
      </c>
      <c r="C51" s="50"/>
      <c r="D51" s="50"/>
      <c r="E51" s="50"/>
      <c r="F51" s="50"/>
    </row>
    <row r="52" spans="2:6" ht="21.75" customHeight="1" x14ac:dyDescent="0.25">
      <c r="B52" s="25" t="s">
        <v>45</v>
      </c>
      <c r="C52" s="47"/>
      <c r="D52" s="47"/>
      <c r="E52" s="47"/>
      <c r="F52" s="47"/>
    </row>
    <row r="53" spans="2:6" ht="21.75" customHeight="1" x14ac:dyDescent="0.25">
      <c r="B53" s="25" t="s">
        <v>43</v>
      </c>
      <c r="C53" s="48"/>
      <c r="D53" s="48"/>
      <c r="E53" s="48"/>
      <c r="F53" s="48"/>
    </row>
    <row r="54" spans="2:6" ht="21.75" customHeight="1" thickBot="1" x14ac:dyDescent="0.3">
      <c r="B54" s="16" t="s">
        <v>39</v>
      </c>
      <c r="C54" s="49"/>
      <c r="D54" s="49"/>
      <c r="E54" s="49"/>
      <c r="F54" s="49"/>
    </row>
    <row r="55" spans="2:6" ht="36" customHeight="1" thickBot="1" x14ac:dyDescent="0.35">
      <c r="B55" s="13" t="s">
        <v>3</v>
      </c>
      <c r="C55" s="3">
        <f>SUM(C14+C22+C44+C48+C50)</f>
        <v>1613958</v>
      </c>
      <c r="D55" s="3">
        <f>SUM(D14+D22+D44+D48+D50)</f>
        <v>255248</v>
      </c>
      <c r="E55" s="3">
        <f>SUM(E14+E22+E44+E48+E50)</f>
        <v>1869206</v>
      </c>
      <c r="F55" s="3">
        <f>SUM(F14+F22+F44+F48+F50)</f>
        <v>1869206</v>
      </c>
    </row>
    <row r="57" spans="2:6" ht="18" customHeight="1" x14ac:dyDescent="0.2">
      <c r="D57" s="54"/>
      <c r="F57" s="57"/>
    </row>
    <row r="67" spans="1:6" ht="18" customHeight="1" x14ac:dyDescent="0.2">
      <c r="A67" s="2" t="s">
        <v>36</v>
      </c>
      <c r="B67" s="2"/>
    </row>
    <row r="68" spans="1:6" ht="18" customHeight="1" x14ac:dyDescent="0.2">
      <c r="A68" s="2" t="s">
        <v>1</v>
      </c>
      <c r="B68" s="2"/>
    </row>
    <row r="69" spans="1:6" ht="18" customHeight="1" x14ac:dyDescent="0.2">
      <c r="A69" s="2" t="s">
        <v>2</v>
      </c>
      <c r="B69" s="2"/>
    </row>
    <row r="70" spans="1:6" ht="18" customHeight="1" x14ac:dyDescent="0.2">
      <c r="B70" s="2"/>
    </row>
    <row r="71" spans="1:6" ht="18" customHeight="1" x14ac:dyDescent="0.35">
      <c r="A71" s="32" t="s">
        <v>57</v>
      </c>
      <c r="B71" s="32"/>
      <c r="C71" s="32"/>
      <c r="D71" s="32"/>
      <c r="E71" s="39"/>
    </row>
    <row r="72" spans="1:6" ht="18" customHeight="1" x14ac:dyDescent="0.35">
      <c r="A72" s="112" t="s">
        <v>51</v>
      </c>
      <c r="B72" s="112"/>
      <c r="C72" s="112"/>
      <c r="D72" s="112"/>
      <c r="E72" s="112"/>
    </row>
    <row r="73" spans="1:6" ht="18" customHeight="1" x14ac:dyDescent="0.4">
      <c r="B73" s="113"/>
      <c r="C73" s="113"/>
      <c r="D73" s="37"/>
      <c r="E73" s="112" t="s">
        <v>50</v>
      </c>
      <c r="F73" s="112"/>
    </row>
    <row r="74" spans="1:6" ht="18" customHeight="1" x14ac:dyDescent="0.25">
      <c r="B74" s="33" t="s">
        <v>0</v>
      </c>
      <c r="C74" s="31"/>
      <c r="D74" s="31"/>
    </row>
    <row r="75" spans="1:6" ht="18" customHeight="1" x14ac:dyDescent="0.25">
      <c r="A75" s="31"/>
      <c r="B75" s="34" t="s">
        <v>41</v>
      </c>
      <c r="C75" s="31"/>
      <c r="D75" s="31"/>
    </row>
    <row r="76" spans="1:6" ht="18" customHeight="1" thickBot="1" x14ac:dyDescent="0.25">
      <c r="B76" s="1"/>
      <c r="C76" s="1"/>
      <c r="D76" s="1"/>
    </row>
    <row r="77" spans="1:6" ht="18" customHeight="1" x14ac:dyDescent="0.2">
      <c r="B77" s="114" t="s">
        <v>52</v>
      </c>
      <c r="C77" s="124" t="s">
        <v>48</v>
      </c>
      <c r="D77" s="124" t="s">
        <v>46</v>
      </c>
      <c r="E77" s="124" t="s">
        <v>44</v>
      </c>
      <c r="F77" s="124" t="s">
        <v>47</v>
      </c>
    </row>
    <row r="78" spans="1:6" ht="18" customHeight="1" x14ac:dyDescent="0.2">
      <c r="B78" s="115"/>
      <c r="C78" s="125"/>
      <c r="D78" s="125"/>
      <c r="E78" s="125"/>
      <c r="F78" s="125"/>
    </row>
    <row r="79" spans="1:6" ht="18" customHeight="1" thickBot="1" x14ac:dyDescent="0.25">
      <c r="B79" s="116"/>
      <c r="C79" s="126"/>
      <c r="D79" s="126"/>
      <c r="E79" s="126"/>
      <c r="F79" s="126"/>
    </row>
    <row r="80" spans="1:6" ht="18" customHeight="1" x14ac:dyDescent="0.2">
      <c r="B80" s="122" t="s">
        <v>4</v>
      </c>
      <c r="C80" s="127">
        <f>SUM(C82:C87)</f>
        <v>4125984</v>
      </c>
      <c r="D80" s="127">
        <f>SUM(D82:D87)</f>
        <v>-311810.63</v>
      </c>
      <c r="E80" s="127">
        <f>SUM(E82:E87)</f>
        <v>3814173.3699999996</v>
      </c>
      <c r="F80" s="127">
        <f>SUM(F82:F87)</f>
        <v>3814173.3699999996</v>
      </c>
    </row>
    <row r="81" spans="2:6" ht="18" customHeight="1" thickBot="1" x14ac:dyDescent="0.25">
      <c r="B81" s="123"/>
      <c r="C81" s="128"/>
      <c r="D81" s="128"/>
      <c r="E81" s="128"/>
      <c r="F81" s="128"/>
    </row>
    <row r="82" spans="2:6" ht="18" customHeight="1" x14ac:dyDescent="0.25">
      <c r="B82" s="14" t="s">
        <v>31</v>
      </c>
      <c r="C82" s="40">
        <v>3625923</v>
      </c>
      <c r="D82" s="40">
        <v>-260448.88</v>
      </c>
      <c r="E82" s="40">
        <f t="shared" ref="E82:E87" si="3">C82+D82</f>
        <v>3365474.12</v>
      </c>
      <c r="F82" s="40">
        <v>3365474.12</v>
      </c>
    </row>
    <row r="83" spans="2:6" ht="18" customHeight="1" x14ac:dyDescent="0.25">
      <c r="B83" s="7" t="s">
        <v>32</v>
      </c>
      <c r="C83" s="40"/>
      <c r="D83" s="40"/>
      <c r="E83" s="40">
        <f t="shared" si="3"/>
        <v>0</v>
      </c>
      <c r="F83" s="40"/>
    </row>
    <row r="84" spans="2:6" ht="18" customHeight="1" x14ac:dyDescent="0.25">
      <c r="B84" s="7" t="s">
        <v>40</v>
      </c>
      <c r="C84" s="40"/>
      <c r="D84" s="40"/>
      <c r="E84" s="40">
        <f t="shared" si="3"/>
        <v>0</v>
      </c>
      <c r="F84" s="40"/>
    </row>
    <row r="85" spans="2:6" ht="18" customHeight="1" x14ac:dyDescent="0.25">
      <c r="B85" s="7" t="s">
        <v>33</v>
      </c>
      <c r="C85" s="40">
        <v>328338</v>
      </c>
      <c r="D85" s="40">
        <v>-46739.28</v>
      </c>
      <c r="E85" s="40">
        <f t="shared" si="3"/>
        <v>281598.71999999997</v>
      </c>
      <c r="F85" s="40">
        <v>281598.71999999997</v>
      </c>
    </row>
    <row r="86" spans="2:6" ht="18" customHeight="1" x14ac:dyDescent="0.25">
      <c r="B86" s="8" t="s">
        <v>34</v>
      </c>
      <c r="C86" s="40">
        <v>171723</v>
      </c>
      <c r="D86" s="40">
        <v>-4622.47</v>
      </c>
      <c r="E86" s="40">
        <f t="shared" si="3"/>
        <v>167100.53</v>
      </c>
      <c r="F86" s="40">
        <v>167100.53</v>
      </c>
    </row>
    <row r="87" spans="2:6" ht="18" customHeight="1" thickBot="1" x14ac:dyDescent="0.3">
      <c r="B87" s="23" t="s">
        <v>35</v>
      </c>
      <c r="C87" s="51"/>
      <c r="D87" s="40"/>
      <c r="E87" s="40">
        <f t="shared" si="3"/>
        <v>0</v>
      </c>
      <c r="F87" s="51">
        <v>0</v>
      </c>
    </row>
    <row r="88" spans="2:6" ht="18" customHeight="1" x14ac:dyDescent="0.2">
      <c r="B88" s="122" t="s">
        <v>29</v>
      </c>
      <c r="C88" s="127">
        <f>C90+C95+C97+C103+C106+C109</f>
        <v>4250180</v>
      </c>
      <c r="D88" s="127">
        <f t="shared" ref="D88:F88" si="4">D90+D95+D97+D103+D106+D109</f>
        <v>282048.19000000006</v>
      </c>
      <c r="E88" s="127">
        <f t="shared" si="4"/>
        <v>4532228.1900000004</v>
      </c>
      <c r="F88" s="127">
        <f t="shared" si="4"/>
        <v>4532228.1900000004</v>
      </c>
    </row>
    <row r="89" spans="2:6" ht="18" customHeight="1" thickBot="1" x14ac:dyDescent="0.25">
      <c r="B89" s="123"/>
      <c r="C89" s="128"/>
      <c r="D89" s="128"/>
      <c r="E89" s="128"/>
      <c r="F89" s="128"/>
    </row>
    <row r="90" spans="2:6" ht="18" customHeight="1" x14ac:dyDescent="0.25">
      <c r="B90" s="6" t="s">
        <v>11</v>
      </c>
      <c r="C90" s="41">
        <f>SUM(C91:C94)</f>
        <v>609285</v>
      </c>
      <c r="D90" s="41">
        <f>SUM(D91:D94)</f>
        <v>-94259.22</v>
      </c>
      <c r="E90" s="41">
        <f>SUM(E91:E94)</f>
        <v>515025.77999999997</v>
      </c>
      <c r="F90" s="41">
        <f>SUM(F91:F94)</f>
        <v>515025.77999999997</v>
      </c>
    </row>
    <row r="91" spans="2:6" ht="18" customHeight="1" x14ac:dyDescent="0.25">
      <c r="B91" s="7" t="s">
        <v>5</v>
      </c>
      <c r="C91" s="42">
        <v>285000</v>
      </c>
      <c r="D91" s="42">
        <v>-8127.74</v>
      </c>
      <c r="E91" s="42">
        <f>C91+D91</f>
        <v>276872.26</v>
      </c>
      <c r="F91" s="42">
        <v>276872.26</v>
      </c>
    </row>
    <row r="92" spans="2:6" ht="18" customHeight="1" x14ac:dyDescent="0.25">
      <c r="B92" s="7" t="s">
        <v>6</v>
      </c>
      <c r="C92" s="42">
        <v>233400</v>
      </c>
      <c r="D92" s="42">
        <v>-8651.31</v>
      </c>
      <c r="E92" s="42">
        <f>C92+D92</f>
        <v>224748.69</v>
      </c>
      <c r="F92" s="42">
        <v>224748.69</v>
      </c>
    </row>
    <row r="93" spans="2:6" ht="18" customHeight="1" x14ac:dyDescent="0.25">
      <c r="B93" s="7" t="s">
        <v>7</v>
      </c>
      <c r="C93" s="42">
        <v>89985</v>
      </c>
      <c r="D93" s="42">
        <v>-77082.080000000002</v>
      </c>
      <c r="E93" s="42">
        <f>C93+D93</f>
        <v>12902.919999999998</v>
      </c>
      <c r="F93" s="42">
        <v>12902.92</v>
      </c>
    </row>
    <row r="94" spans="2:6" ht="18" customHeight="1" x14ac:dyDescent="0.25">
      <c r="B94" s="8" t="s">
        <v>8</v>
      </c>
      <c r="C94" s="42">
        <v>900</v>
      </c>
      <c r="D94" s="42">
        <v>-398.09</v>
      </c>
      <c r="E94" s="42">
        <f>C94+D94</f>
        <v>501.91</v>
      </c>
      <c r="F94" s="42">
        <v>501.91</v>
      </c>
    </row>
    <row r="95" spans="2:6" ht="18" customHeight="1" x14ac:dyDescent="0.25">
      <c r="B95" s="9" t="s">
        <v>12</v>
      </c>
      <c r="C95" s="43">
        <f>SUM(C96)</f>
        <v>3488670</v>
      </c>
      <c r="D95" s="43">
        <f>SUM(D96)</f>
        <v>339099.59</v>
      </c>
      <c r="E95" s="43">
        <f>SUM(E96)</f>
        <v>3827769.59</v>
      </c>
      <c r="F95" s="43">
        <f>SUM(F96)</f>
        <v>3827769.59</v>
      </c>
    </row>
    <row r="96" spans="2:6" ht="18" customHeight="1" x14ac:dyDescent="0.25">
      <c r="B96" s="10" t="s">
        <v>16</v>
      </c>
      <c r="C96" s="42">
        <v>3488670</v>
      </c>
      <c r="D96" s="42">
        <v>339099.59</v>
      </c>
      <c r="E96" s="42">
        <f>C96+D96</f>
        <v>3827769.59</v>
      </c>
      <c r="F96" s="42">
        <v>3827769.59</v>
      </c>
    </row>
    <row r="97" spans="2:6" ht="18" customHeight="1" x14ac:dyDescent="0.25">
      <c r="B97" s="11" t="s">
        <v>21</v>
      </c>
      <c r="C97" s="44">
        <f>SUM(C98:C102)</f>
        <v>15445</v>
      </c>
      <c r="D97" s="44">
        <f>SUM(D98:D102)</f>
        <v>37348.53</v>
      </c>
      <c r="E97" s="44">
        <f>SUM(E98:E102)</f>
        <v>52793.530000000006</v>
      </c>
      <c r="F97" s="44">
        <f>SUM(F98:F102)</f>
        <v>52793.530000000006</v>
      </c>
    </row>
    <row r="98" spans="2:6" ht="18" customHeight="1" x14ac:dyDescent="0.25">
      <c r="B98" s="8" t="s">
        <v>20</v>
      </c>
      <c r="C98" s="42">
        <v>13010</v>
      </c>
      <c r="D98" s="42">
        <v>-2124.96</v>
      </c>
      <c r="E98" s="42">
        <f>C98+D98</f>
        <v>10885.04</v>
      </c>
      <c r="F98" s="42">
        <v>10885.04</v>
      </c>
    </row>
    <row r="99" spans="2:6" ht="18" customHeight="1" x14ac:dyDescent="0.25">
      <c r="B99" s="8" t="s">
        <v>30</v>
      </c>
      <c r="C99" s="42"/>
      <c r="D99" s="42">
        <v>6300</v>
      </c>
      <c r="E99" s="42">
        <f>C99+D99</f>
        <v>6300</v>
      </c>
      <c r="F99" s="42">
        <v>6300</v>
      </c>
    </row>
    <row r="100" spans="2:6" ht="18" customHeight="1" x14ac:dyDescent="0.25">
      <c r="B100" s="8" t="s">
        <v>19</v>
      </c>
      <c r="C100" s="42"/>
      <c r="D100" s="42">
        <f>30381+851.23</f>
        <v>31232.23</v>
      </c>
      <c r="E100" s="42">
        <f t="shared" ref="E100:E102" si="5">C100+D100</f>
        <v>31232.23</v>
      </c>
      <c r="F100" s="42">
        <f>851.23+30381</f>
        <v>31232.23</v>
      </c>
    </row>
    <row r="101" spans="2:6" ht="18" customHeight="1" x14ac:dyDescent="0.25">
      <c r="B101" s="8" t="s">
        <v>17</v>
      </c>
      <c r="C101" s="42">
        <v>2435</v>
      </c>
      <c r="D101" s="42">
        <v>-1812.5</v>
      </c>
      <c r="E101" s="42">
        <f t="shared" si="5"/>
        <v>622.5</v>
      </c>
      <c r="F101" s="42">
        <v>622.5</v>
      </c>
    </row>
    <row r="102" spans="2:6" ht="18" customHeight="1" x14ac:dyDescent="0.25">
      <c r="B102" s="8" t="s">
        <v>18</v>
      </c>
      <c r="C102" s="42"/>
      <c r="D102" s="42">
        <v>3753.76</v>
      </c>
      <c r="E102" s="42">
        <f t="shared" si="5"/>
        <v>3753.76</v>
      </c>
      <c r="F102" s="42">
        <v>3753.76</v>
      </c>
    </row>
    <row r="103" spans="2:6" ht="18" customHeight="1" x14ac:dyDescent="0.25">
      <c r="B103" s="11" t="s">
        <v>26</v>
      </c>
      <c r="C103" s="44">
        <f>SUM(C104:C105)</f>
        <v>41150</v>
      </c>
      <c r="D103" s="44">
        <f>SUM(D104:D105)</f>
        <v>-10648.3</v>
      </c>
      <c r="E103" s="44">
        <f>SUM(E104:E105)</f>
        <v>30501.7</v>
      </c>
      <c r="F103" s="44">
        <f>SUM(F104:F105)</f>
        <v>30501.7</v>
      </c>
    </row>
    <row r="104" spans="2:6" ht="18" customHeight="1" x14ac:dyDescent="0.25">
      <c r="B104" s="8" t="s">
        <v>27</v>
      </c>
      <c r="C104" s="42">
        <v>11150</v>
      </c>
      <c r="D104" s="42">
        <v>5582.68</v>
      </c>
      <c r="E104" s="42">
        <f>C104+D104</f>
        <v>16732.68</v>
      </c>
      <c r="F104" s="42">
        <v>16732.68</v>
      </c>
    </row>
    <row r="105" spans="2:6" ht="18" customHeight="1" x14ac:dyDescent="0.25">
      <c r="B105" s="8" t="s">
        <v>28</v>
      </c>
      <c r="C105" s="42">
        <v>30000</v>
      </c>
      <c r="D105" s="42">
        <v>-16230.98</v>
      </c>
      <c r="E105" s="42">
        <f>C105+D105</f>
        <v>13769.02</v>
      </c>
      <c r="F105" s="42">
        <v>13769.02</v>
      </c>
    </row>
    <row r="106" spans="2:6" ht="18" customHeight="1" x14ac:dyDescent="0.25">
      <c r="B106" s="11" t="s">
        <v>13</v>
      </c>
      <c r="C106" s="44">
        <f>SUM(C107:C108)</f>
        <v>44720</v>
      </c>
      <c r="D106" s="44">
        <f>SUM(D107:D108)</f>
        <v>-13920</v>
      </c>
      <c r="E106" s="44">
        <f>SUM(E107:E108)</f>
        <v>30800</v>
      </c>
      <c r="F106" s="44">
        <f>SUM(F107:F108)</f>
        <v>30800</v>
      </c>
    </row>
    <row r="107" spans="2:6" ht="18" customHeight="1" x14ac:dyDescent="0.25">
      <c r="B107" s="8" t="s">
        <v>9</v>
      </c>
      <c r="C107" s="42">
        <v>13920</v>
      </c>
      <c r="D107" s="42">
        <v>-13920</v>
      </c>
      <c r="E107" s="42">
        <f>C107+D107</f>
        <v>0</v>
      </c>
      <c r="F107" s="42"/>
    </row>
    <row r="108" spans="2:6" ht="18" customHeight="1" x14ac:dyDescent="0.25">
      <c r="B108" s="8" t="s">
        <v>10</v>
      </c>
      <c r="C108" s="42">
        <v>30800</v>
      </c>
      <c r="D108" s="42"/>
      <c r="E108" s="42">
        <f>C108+D108</f>
        <v>30800</v>
      </c>
      <c r="F108" s="42">
        <v>30800</v>
      </c>
    </row>
    <row r="109" spans="2:6" ht="18" customHeight="1" thickBot="1" x14ac:dyDescent="0.3">
      <c r="B109" s="15" t="s">
        <v>14</v>
      </c>
      <c r="C109" s="52">
        <f>3190+130+565+23250+375+23400</f>
        <v>50910</v>
      </c>
      <c r="D109" s="52">
        <f>(9+55.96+1006+88.5+18340.68+4972.32+3732)-(87.1+130+257.15+3302.62)</f>
        <v>24427.59</v>
      </c>
      <c r="E109" s="45">
        <f>C109+D109</f>
        <v>75337.59</v>
      </c>
      <c r="F109" s="52">
        <f>9+3102.9+55.96+1571+88.5+41590.68+117.85+4972.32+20097.38+3732</f>
        <v>75337.59</v>
      </c>
    </row>
    <row r="110" spans="2:6" ht="18" customHeight="1" thickBot="1" x14ac:dyDescent="0.35">
      <c r="B110" s="12" t="s">
        <v>22</v>
      </c>
      <c r="C110" s="46">
        <f>SUM(C111:C113)</f>
        <v>80650</v>
      </c>
      <c r="D110" s="46">
        <f>SUM(D111:D113)</f>
        <v>-26743.18</v>
      </c>
      <c r="E110" s="46">
        <f>SUM(E111:E113)</f>
        <v>53906.82</v>
      </c>
      <c r="F110" s="46">
        <f>SUM(F111:F113)</f>
        <v>53906.82</v>
      </c>
    </row>
    <row r="111" spans="2:6" ht="18" customHeight="1" x14ac:dyDescent="0.25">
      <c r="B111" s="16" t="s">
        <v>15</v>
      </c>
      <c r="C111" s="47">
        <v>56170</v>
      </c>
      <c r="D111" s="47">
        <v>-2539.37</v>
      </c>
      <c r="E111" s="47">
        <f>C111+D111</f>
        <v>53630.63</v>
      </c>
      <c r="F111" s="47">
        <v>53630.63</v>
      </c>
    </row>
    <row r="112" spans="2:6" ht="18" customHeight="1" x14ac:dyDescent="0.25">
      <c r="B112" s="16" t="s">
        <v>37</v>
      </c>
      <c r="C112" s="48"/>
      <c r="D112" s="48">
        <v>276.19</v>
      </c>
      <c r="E112" s="42">
        <f>C112+D112</f>
        <v>276.19</v>
      </c>
      <c r="F112" s="48">
        <v>276.19</v>
      </c>
    </row>
    <row r="113" spans="2:6" ht="18" customHeight="1" thickBot="1" x14ac:dyDescent="0.3">
      <c r="B113" s="17" t="s">
        <v>23</v>
      </c>
      <c r="C113" s="49">
        <v>24480</v>
      </c>
      <c r="D113" s="49">
        <v>-24480</v>
      </c>
      <c r="E113" s="49">
        <f>C113+D113</f>
        <v>0</v>
      </c>
      <c r="F113" s="49"/>
    </row>
    <row r="114" spans="2:6" ht="18" customHeight="1" thickBot="1" x14ac:dyDescent="0.35">
      <c r="B114" s="12" t="s">
        <v>24</v>
      </c>
      <c r="C114" s="46">
        <f>SUM(C115)</f>
        <v>1260</v>
      </c>
      <c r="D114" s="46">
        <f>SUM(D115)</f>
        <v>-1260</v>
      </c>
      <c r="E114" s="46">
        <f>SUM(E115)</f>
        <v>0</v>
      </c>
      <c r="F114" s="46">
        <f>SUM(F115)</f>
        <v>0</v>
      </c>
    </row>
    <row r="115" spans="2:6" ht="18" customHeight="1" thickBot="1" x14ac:dyDescent="0.3">
      <c r="B115" s="18" t="s">
        <v>25</v>
      </c>
      <c r="C115" s="49">
        <v>1260</v>
      </c>
      <c r="D115" s="49">
        <v>-1260</v>
      </c>
      <c r="E115" s="49">
        <f>C115+D115</f>
        <v>0</v>
      </c>
      <c r="F115" s="49"/>
    </row>
    <row r="116" spans="2:6" ht="18" customHeight="1" thickBot="1" x14ac:dyDescent="0.35">
      <c r="B116" s="12" t="s">
        <v>38</v>
      </c>
      <c r="C116" s="46">
        <f>SUM(C117:C120)</f>
        <v>0</v>
      </c>
      <c r="D116" s="46">
        <f>SUM(D117:D120)</f>
        <v>260</v>
      </c>
      <c r="E116" s="46">
        <f>SUM(E117:E120)</f>
        <v>260</v>
      </c>
      <c r="F116" s="46">
        <f>SUM(F117:F120)</f>
        <v>260</v>
      </c>
    </row>
    <row r="117" spans="2:6" ht="18" customHeight="1" x14ac:dyDescent="0.25">
      <c r="B117" s="16" t="s">
        <v>42</v>
      </c>
      <c r="C117" s="50"/>
      <c r="D117" s="50"/>
      <c r="E117" s="42">
        <f t="shared" ref="E117:E120" si="6">C117+D117</f>
        <v>0</v>
      </c>
      <c r="F117" s="50"/>
    </row>
    <row r="118" spans="2:6" ht="18" customHeight="1" x14ac:dyDescent="0.25">
      <c r="B118" s="25" t="s">
        <v>45</v>
      </c>
      <c r="C118" s="47"/>
      <c r="D118" s="47">
        <v>260</v>
      </c>
      <c r="E118" s="42">
        <f t="shared" si="6"/>
        <v>260</v>
      </c>
      <c r="F118" s="47">
        <v>260</v>
      </c>
    </row>
    <row r="119" spans="2:6" ht="18" customHeight="1" x14ac:dyDescent="0.25">
      <c r="B119" s="25" t="s">
        <v>43</v>
      </c>
      <c r="C119" s="48"/>
      <c r="D119" s="48"/>
      <c r="E119" s="42">
        <f t="shared" si="6"/>
        <v>0</v>
      </c>
      <c r="F119" s="48"/>
    </row>
    <row r="120" spans="2:6" ht="18" customHeight="1" thickBot="1" x14ac:dyDescent="0.3">
      <c r="B120" s="16" t="s">
        <v>39</v>
      </c>
      <c r="C120" s="49"/>
      <c r="D120" s="49"/>
      <c r="E120" s="42">
        <f t="shared" si="6"/>
        <v>0</v>
      </c>
      <c r="F120" s="49"/>
    </row>
    <row r="121" spans="2:6" ht="18" customHeight="1" thickBot="1" x14ac:dyDescent="0.35">
      <c r="B121" s="13" t="s">
        <v>3</v>
      </c>
      <c r="C121" s="3">
        <f>SUM(C80+C88+C110+C114+C116)</f>
        <v>8458074</v>
      </c>
      <c r="D121" s="3">
        <f>SUM(D80+D88+D110+D114+D116)</f>
        <v>-57505.619999999944</v>
      </c>
      <c r="E121" s="3">
        <f>SUM(E80+E88+E110+E114+E116)</f>
        <v>8400568.3800000008</v>
      </c>
      <c r="F121" s="3">
        <f>SUM(F80+F88+F110+F114+F116)</f>
        <v>8400568.3800000008</v>
      </c>
    </row>
    <row r="123" spans="2:6" ht="18" customHeight="1" x14ac:dyDescent="0.2">
      <c r="C123" s="53"/>
      <c r="D123" s="53"/>
      <c r="F123" s="55"/>
    </row>
    <row r="124" spans="2:6" ht="18" customHeight="1" x14ac:dyDescent="0.2">
      <c r="D124" s="53"/>
    </row>
    <row r="138" spans="1:6" ht="18" customHeight="1" x14ac:dyDescent="0.2">
      <c r="A138" s="2" t="s">
        <v>36</v>
      </c>
      <c r="B138" s="2"/>
    </row>
    <row r="139" spans="1:6" ht="18" customHeight="1" x14ac:dyDescent="0.2">
      <c r="A139" s="2" t="s">
        <v>1</v>
      </c>
      <c r="B139" s="2"/>
    </row>
    <row r="140" spans="1:6" ht="18" customHeight="1" x14ac:dyDescent="0.2">
      <c r="A140" s="2" t="s">
        <v>2</v>
      </c>
      <c r="B140" s="2"/>
    </row>
    <row r="141" spans="1:6" ht="18" customHeight="1" x14ac:dyDescent="0.2">
      <c r="B141" s="2"/>
    </row>
    <row r="142" spans="1:6" ht="18" customHeight="1" x14ac:dyDescent="0.35">
      <c r="A142" s="32" t="s">
        <v>57</v>
      </c>
      <c r="B142" s="32"/>
      <c r="C142" s="32"/>
      <c r="D142" s="32"/>
      <c r="E142" s="39"/>
    </row>
    <row r="143" spans="1:6" ht="18" customHeight="1" x14ac:dyDescent="0.35">
      <c r="A143" s="112" t="s">
        <v>51</v>
      </c>
      <c r="B143" s="112"/>
      <c r="C143" s="112"/>
      <c r="D143" s="112"/>
      <c r="E143" s="112"/>
    </row>
    <row r="144" spans="1:6" ht="18" customHeight="1" x14ac:dyDescent="0.4">
      <c r="B144" s="113"/>
      <c r="C144" s="113"/>
      <c r="D144" s="37"/>
      <c r="E144" s="112" t="s">
        <v>54</v>
      </c>
      <c r="F144" s="112"/>
    </row>
    <row r="145" spans="1:6" ht="18" customHeight="1" x14ac:dyDescent="0.25">
      <c r="B145" s="33" t="s">
        <v>0</v>
      </c>
      <c r="C145" s="31"/>
      <c r="D145" s="31"/>
    </row>
    <row r="146" spans="1:6" ht="18" customHeight="1" x14ac:dyDescent="0.25">
      <c r="A146" s="31"/>
      <c r="B146" s="34" t="s">
        <v>41</v>
      </c>
      <c r="C146" s="31"/>
      <c r="D146" s="31"/>
    </row>
    <row r="147" spans="1:6" ht="18" customHeight="1" thickBot="1" x14ac:dyDescent="0.25">
      <c r="B147" s="1"/>
      <c r="C147" s="1"/>
      <c r="D147" s="1"/>
    </row>
    <row r="148" spans="1:6" ht="18" customHeight="1" x14ac:dyDescent="0.2">
      <c r="B148" s="114" t="s">
        <v>52</v>
      </c>
      <c r="C148" s="117" t="s">
        <v>48</v>
      </c>
      <c r="D148" s="117" t="s">
        <v>46</v>
      </c>
      <c r="E148" s="124" t="s">
        <v>44</v>
      </c>
      <c r="F148" s="124" t="s">
        <v>47</v>
      </c>
    </row>
    <row r="149" spans="1:6" ht="18" customHeight="1" x14ac:dyDescent="0.2">
      <c r="B149" s="115"/>
      <c r="C149" s="118"/>
      <c r="D149" s="118"/>
      <c r="E149" s="125"/>
      <c r="F149" s="125"/>
    </row>
    <row r="150" spans="1:6" ht="18" customHeight="1" thickBot="1" x14ac:dyDescent="0.25">
      <c r="B150" s="116"/>
      <c r="C150" s="119"/>
      <c r="D150" s="119"/>
      <c r="E150" s="126"/>
      <c r="F150" s="126"/>
    </row>
    <row r="151" spans="1:6" ht="18" customHeight="1" x14ac:dyDescent="0.2">
      <c r="B151" s="122" t="s">
        <v>4</v>
      </c>
      <c r="C151" s="120">
        <f>SUM(C153:C158)</f>
        <v>8251968</v>
      </c>
      <c r="D151" s="120">
        <f>SUM(D153:D158)</f>
        <v>-455551.49</v>
      </c>
      <c r="E151" s="127">
        <f>SUM(E153:E158)</f>
        <v>7796416.5100000007</v>
      </c>
      <c r="F151" s="127">
        <f>SUM(F153:F158)</f>
        <v>7796416.5100000007</v>
      </c>
    </row>
    <row r="152" spans="1:6" ht="18" customHeight="1" thickBot="1" x14ac:dyDescent="0.25">
      <c r="B152" s="123"/>
      <c r="C152" s="121"/>
      <c r="D152" s="121"/>
      <c r="E152" s="128"/>
      <c r="F152" s="128"/>
    </row>
    <row r="153" spans="1:6" ht="18" customHeight="1" x14ac:dyDescent="0.25">
      <c r="B153" s="14" t="s">
        <v>31</v>
      </c>
      <c r="C153" s="40">
        <v>7251846</v>
      </c>
      <c r="D153" s="40">
        <v>-400854.16</v>
      </c>
      <c r="E153" s="40">
        <f t="shared" ref="E153:E158" si="7">C153+D153</f>
        <v>6850991.8399999999</v>
      </c>
      <c r="F153" s="40">
        <v>6850991.8399999999</v>
      </c>
    </row>
    <row r="154" spans="1:6" ht="18" customHeight="1" x14ac:dyDescent="0.25">
      <c r="B154" s="7" t="s">
        <v>32</v>
      </c>
      <c r="C154" s="40"/>
      <c r="D154" s="40"/>
      <c r="E154" s="40">
        <f t="shared" si="7"/>
        <v>0</v>
      </c>
      <c r="F154" s="40"/>
    </row>
    <row r="155" spans="1:6" ht="18" customHeight="1" x14ac:dyDescent="0.25">
      <c r="B155" s="7" t="s">
        <v>40</v>
      </c>
      <c r="C155" s="40"/>
      <c r="D155" s="40"/>
      <c r="E155" s="40">
        <f t="shared" si="7"/>
        <v>0</v>
      </c>
      <c r="F155" s="40"/>
    </row>
    <row r="156" spans="1:6" ht="18" customHeight="1" x14ac:dyDescent="0.25">
      <c r="B156" s="7" t="s">
        <v>33</v>
      </c>
      <c r="C156" s="40">
        <v>656676</v>
      </c>
      <c r="D156" s="40">
        <v>-84220.69</v>
      </c>
      <c r="E156" s="40">
        <f t="shared" si="7"/>
        <v>572455.31000000006</v>
      </c>
      <c r="F156" s="40">
        <v>572455.31000000006</v>
      </c>
    </row>
    <row r="157" spans="1:6" ht="18" customHeight="1" x14ac:dyDescent="0.25">
      <c r="B157" s="8" t="s">
        <v>34</v>
      </c>
      <c r="C157" s="40">
        <v>343446</v>
      </c>
      <c r="D157" s="40">
        <v>-365.02</v>
      </c>
      <c r="E157" s="40">
        <f t="shared" si="7"/>
        <v>343080.98</v>
      </c>
      <c r="F157" s="40">
        <v>343080.98</v>
      </c>
    </row>
    <row r="158" spans="1:6" ht="18" customHeight="1" thickBot="1" x14ac:dyDescent="0.3">
      <c r="B158" s="23" t="s">
        <v>35</v>
      </c>
      <c r="C158" s="51"/>
      <c r="D158" s="40">
        <v>29888.38</v>
      </c>
      <c r="E158" s="40">
        <f t="shared" si="7"/>
        <v>29888.38</v>
      </c>
      <c r="F158" s="51">
        <v>29888.38</v>
      </c>
    </row>
    <row r="159" spans="1:6" ht="18" customHeight="1" x14ac:dyDescent="0.2">
      <c r="B159" s="122" t="s">
        <v>29</v>
      </c>
      <c r="C159" s="127">
        <f>C161+C166+C168+C174+C177+C180</f>
        <v>10349680</v>
      </c>
      <c r="D159" s="127">
        <f t="shared" ref="D159:F159" si="8">D161+D166+D168+D174+D177+D180</f>
        <v>1065794.71</v>
      </c>
      <c r="E159" s="127">
        <f t="shared" si="8"/>
        <v>11415474.709999999</v>
      </c>
      <c r="F159" s="127">
        <f t="shared" si="8"/>
        <v>11415474.709999999</v>
      </c>
    </row>
    <row r="160" spans="1:6" ht="18" customHeight="1" thickBot="1" x14ac:dyDescent="0.25">
      <c r="B160" s="123"/>
      <c r="C160" s="128"/>
      <c r="D160" s="128"/>
      <c r="E160" s="128"/>
      <c r="F160" s="128"/>
    </row>
    <row r="161" spans="2:6" ht="18" customHeight="1" x14ac:dyDescent="0.25">
      <c r="B161" s="6" t="s">
        <v>11</v>
      </c>
      <c r="C161" s="41">
        <f>SUM(C162:C165)</f>
        <v>1172760</v>
      </c>
      <c r="D161" s="41">
        <f>SUM(D162:D165)</f>
        <v>0</v>
      </c>
      <c r="E161" s="41">
        <f>SUM(E162:E165)</f>
        <v>1172760</v>
      </c>
      <c r="F161" s="41">
        <f>SUM(F162:F165)</f>
        <v>1172760</v>
      </c>
    </row>
    <row r="162" spans="2:6" ht="18" customHeight="1" x14ac:dyDescent="0.25">
      <c r="B162" s="7" t="s">
        <v>5</v>
      </c>
      <c r="C162" s="42">
        <v>570000</v>
      </c>
      <c r="D162" s="42">
        <v>64713.99</v>
      </c>
      <c r="E162" s="42">
        <f>C162+D162</f>
        <v>634713.99</v>
      </c>
      <c r="F162" s="42">
        <v>634713.99</v>
      </c>
    </row>
    <row r="163" spans="2:6" ht="18" customHeight="1" x14ac:dyDescent="0.25">
      <c r="B163" s="7" t="s">
        <v>6</v>
      </c>
      <c r="C163" s="42">
        <v>466800</v>
      </c>
      <c r="D163" s="42">
        <v>-55052.95</v>
      </c>
      <c r="E163" s="42">
        <f>C163+D163</f>
        <v>411747.05</v>
      </c>
      <c r="F163" s="42">
        <v>411747.05</v>
      </c>
    </row>
    <row r="164" spans="2:6" ht="18" customHeight="1" x14ac:dyDescent="0.25">
      <c r="B164" s="7" t="s">
        <v>7</v>
      </c>
      <c r="C164" s="42">
        <v>134160</v>
      </c>
      <c r="D164" s="42">
        <v>-9091.0300000000007</v>
      </c>
      <c r="E164" s="42">
        <f>C164+D164</f>
        <v>125068.97</v>
      </c>
      <c r="F164" s="42">
        <v>125068.97</v>
      </c>
    </row>
    <row r="165" spans="2:6" ht="18" customHeight="1" x14ac:dyDescent="0.25">
      <c r="B165" s="8" t="s">
        <v>8</v>
      </c>
      <c r="C165" s="42">
        <v>1800</v>
      </c>
      <c r="D165" s="42">
        <v>-570.01</v>
      </c>
      <c r="E165" s="42">
        <f>C165+D165</f>
        <v>1229.99</v>
      </c>
      <c r="F165" s="42">
        <v>1229.99</v>
      </c>
    </row>
    <row r="166" spans="2:6" ht="18" customHeight="1" x14ac:dyDescent="0.25">
      <c r="B166" s="9" t="s">
        <v>12</v>
      </c>
      <c r="C166" s="43">
        <f>SUM(C167)</f>
        <v>8869500</v>
      </c>
      <c r="D166" s="43">
        <f>SUM(D167)</f>
        <v>730673.11</v>
      </c>
      <c r="E166" s="43">
        <f>SUM(E167)</f>
        <v>9600173.1099999994</v>
      </c>
      <c r="F166" s="43">
        <f>SUM(F167)</f>
        <v>9600173.1099999994</v>
      </c>
    </row>
    <row r="167" spans="2:6" ht="18" customHeight="1" x14ac:dyDescent="0.25">
      <c r="B167" s="10" t="s">
        <v>16</v>
      </c>
      <c r="C167" s="42">
        <v>8869500</v>
      </c>
      <c r="D167" s="42">
        <v>730673.11</v>
      </c>
      <c r="E167" s="42">
        <f>C167+D167</f>
        <v>9600173.1099999994</v>
      </c>
      <c r="F167" s="42">
        <v>9600173.1099999994</v>
      </c>
    </row>
    <row r="168" spans="2:6" ht="18" customHeight="1" x14ac:dyDescent="0.25">
      <c r="B168" s="11" t="s">
        <v>21</v>
      </c>
      <c r="C168" s="44">
        <f>SUM(C169:C173)</f>
        <v>30895</v>
      </c>
      <c r="D168" s="44">
        <f>SUM(D169:D173)</f>
        <v>52321.770000000004</v>
      </c>
      <c r="E168" s="44">
        <f>SUM(E169:E173)</f>
        <v>83216.77</v>
      </c>
      <c r="F168" s="44">
        <f>SUM(F169:F173)</f>
        <v>83216.77</v>
      </c>
    </row>
    <row r="169" spans="2:6" ht="18" customHeight="1" x14ac:dyDescent="0.25">
      <c r="B169" s="8" t="s">
        <v>20</v>
      </c>
      <c r="C169" s="42">
        <v>26020</v>
      </c>
      <c r="D169" s="42">
        <v>-2525.58</v>
      </c>
      <c r="E169" s="42">
        <f>C169+D169</f>
        <v>23494.42</v>
      </c>
      <c r="F169" s="42">
        <v>23494.42</v>
      </c>
    </row>
    <row r="170" spans="2:6" ht="18" customHeight="1" x14ac:dyDescent="0.25">
      <c r="B170" s="8" t="s">
        <v>30</v>
      </c>
      <c r="C170" s="42"/>
      <c r="D170" s="42">
        <v>15706.43</v>
      </c>
      <c r="E170" s="42">
        <f>C170+D170</f>
        <v>15706.43</v>
      </c>
      <c r="F170" s="42">
        <v>15706.43</v>
      </c>
    </row>
    <row r="171" spans="2:6" ht="18" customHeight="1" x14ac:dyDescent="0.25">
      <c r="B171" s="8" t="s">
        <v>19</v>
      </c>
      <c r="C171" s="42"/>
      <c r="D171" s="42">
        <f>30381+2937.43</f>
        <v>33318.43</v>
      </c>
      <c r="E171" s="42">
        <f t="shared" ref="E171:E173" si="9">C171+D171</f>
        <v>33318.43</v>
      </c>
      <c r="F171" s="42">
        <f>30381+2937.43</f>
        <v>33318.43</v>
      </c>
    </row>
    <row r="172" spans="2:6" ht="18" customHeight="1" x14ac:dyDescent="0.25">
      <c r="B172" s="8" t="s">
        <v>17</v>
      </c>
      <c r="C172" s="42">
        <v>4875</v>
      </c>
      <c r="D172" s="42">
        <v>-844.45</v>
      </c>
      <c r="E172" s="42">
        <f t="shared" si="9"/>
        <v>4030.55</v>
      </c>
      <c r="F172" s="42">
        <v>4030.55</v>
      </c>
    </row>
    <row r="173" spans="2:6" ht="18" customHeight="1" x14ac:dyDescent="0.25">
      <c r="B173" s="8" t="s">
        <v>18</v>
      </c>
      <c r="C173" s="42"/>
      <c r="D173" s="42">
        <v>6666.94</v>
      </c>
      <c r="E173" s="42">
        <f t="shared" si="9"/>
        <v>6666.94</v>
      </c>
      <c r="F173" s="42">
        <v>6666.94</v>
      </c>
    </row>
    <row r="174" spans="2:6" ht="18" customHeight="1" x14ac:dyDescent="0.25">
      <c r="B174" s="11" t="s">
        <v>26</v>
      </c>
      <c r="C174" s="44">
        <f>SUM(C175:C176)</f>
        <v>84265</v>
      </c>
      <c r="D174" s="44">
        <f>SUM(D175:D176)</f>
        <v>46336.130000000005</v>
      </c>
      <c r="E174" s="44">
        <f>SUM(E175:E176)</f>
        <v>130601.13</v>
      </c>
      <c r="F174" s="44">
        <f>SUM(F175:F176)</f>
        <v>130601.12999999999</v>
      </c>
    </row>
    <row r="175" spans="2:6" ht="18" customHeight="1" x14ac:dyDescent="0.25">
      <c r="B175" s="8" t="s">
        <v>27</v>
      </c>
      <c r="C175" s="42">
        <v>24265</v>
      </c>
      <c r="D175" s="42">
        <v>20515.59</v>
      </c>
      <c r="E175" s="42">
        <f>C175+D175</f>
        <v>44780.59</v>
      </c>
      <c r="F175" s="42">
        <v>44780.59</v>
      </c>
    </row>
    <row r="176" spans="2:6" ht="18" customHeight="1" x14ac:dyDescent="0.25">
      <c r="B176" s="8" t="s">
        <v>28</v>
      </c>
      <c r="C176" s="42">
        <v>60000</v>
      </c>
      <c r="D176" s="42">
        <v>25820.54</v>
      </c>
      <c r="E176" s="42">
        <f>C176+D176</f>
        <v>85820.540000000008</v>
      </c>
      <c r="F176" s="42">
        <v>85820.54</v>
      </c>
    </row>
    <row r="177" spans="2:6" ht="18" customHeight="1" x14ac:dyDescent="0.25">
      <c r="B177" s="11" t="s">
        <v>13</v>
      </c>
      <c r="C177" s="44">
        <f>SUM(C178:C179)</f>
        <v>111800</v>
      </c>
      <c r="D177" s="44">
        <f t="shared" ref="D177:F177" si="10">SUM(D178:D179)</f>
        <v>5860</v>
      </c>
      <c r="E177" s="44">
        <f t="shared" si="10"/>
        <v>117660</v>
      </c>
      <c r="F177" s="44">
        <f t="shared" si="10"/>
        <v>117660</v>
      </c>
    </row>
    <row r="178" spans="2:6" ht="18" customHeight="1" x14ac:dyDescent="0.25">
      <c r="B178" s="8" t="s">
        <v>9</v>
      </c>
      <c r="C178" s="42">
        <v>34800</v>
      </c>
      <c r="D178" s="42">
        <v>3720</v>
      </c>
      <c r="E178" s="42">
        <f>C178+D178</f>
        <v>38520</v>
      </c>
      <c r="F178" s="42">
        <v>38520</v>
      </c>
    </row>
    <row r="179" spans="2:6" ht="18" customHeight="1" x14ac:dyDescent="0.25">
      <c r="B179" s="8" t="s">
        <v>10</v>
      </c>
      <c r="C179" s="42">
        <v>77000</v>
      </c>
      <c r="D179" s="42">
        <v>2140</v>
      </c>
      <c r="E179" s="42">
        <f>C179+D179</f>
        <v>79140</v>
      </c>
      <c r="F179" s="42">
        <v>79140</v>
      </c>
    </row>
    <row r="180" spans="2:6" ht="18" customHeight="1" thickBot="1" x14ac:dyDescent="0.3">
      <c r="B180" s="15" t="s">
        <v>14</v>
      </c>
      <c r="C180" s="52">
        <f>3190+390+1130+46500+750+28500</f>
        <v>80460</v>
      </c>
      <c r="D180" s="52">
        <f>(177505.3+11.78+305.68+0.2+24+21+543.49+223.8+766.82+2317+283.5+33284.3+4972.32+5152.7+5734)-(87.1+78.74+376.35)</f>
        <v>230603.7</v>
      </c>
      <c r="E180" s="45">
        <f>C180+D180</f>
        <v>311063.7</v>
      </c>
      <c r="F180" s="52">
        <f>177505.3+11.78+305.68+0.2+24+21+3102.9+543.49+223.8+766.82+311.26+3447+283.5+79784.3+373.65+4972.32+33652.7+5734</f>
        <v>311063.7</v>
      </c>
    </row>
    <row r="181" spans="2:6" ht="18" customHeight="1" thickBot="1" x14ac:dyDescent="0.35">
      <c r="B181" s="12" t="s">
        <v>22</v>
      </c>
      <c r="C181" s="46">
        <f>SUM(C182:C184)</f>
        <v>116680</v>
      </c>
      <c r="D181" s="46">
        <f>SUM(D182:D184)</f>
        <v>36123.64</v>
      </c>
      <c r="E181" s="46">
        <f>SUM(E182:E184)</f>
        <v>152803.63999999998</v>
      </c>
      <c r="F181" s="46">
        <f>SUM(F182:F184)</f>
        <v>152803.63</v>
      </c>
    </row>
    <row r="182" spans="2:6" ht="18" customHeight="1" x14ac:dyDescent="0.25">
      <c r="B182" s="16" t="s">
        <v>15</v>
      </c>
      <c r="C182" s="47">
        <v>92200</v>
      </c>
      <c r="D182" s="47">
        <v>8486.56</v>
      </c>
      <c r="E182" s="47">
        <f>C182+D182</f>
        <v>100686.56</v>
      </c>
      <c r="F182" s="47">
        <v>100686.55</v>
      </c>
    </row>
    <row r="183" spans="2:6" ht="18" customHeight="1" x14ac:dyDescent="0.25">
      <c r="B183" s="16" t="s">
        <v>37</v>
      </c>
      <c r="C183" s="48"/>
      <c r="D183" s="48">
        <v>640.98</v>
      </c>
      <c r="E183" s="47">
        <f t="shared" ref="E183:E184" si="11">C183+D183</f>
        <v>640.98</v>
      </c>
      <c r="F183" s="48">
        <v>640.98</v>
      </c>
    </row>
    <row r="184" spans="2:6" ht="18" customHeight="1" thickBot="1" x14ac:dyDescent="0.3">
      <c r="B184" s="17" t="s">
        <v>23</v>
      </c>
      <c r="C184" s="49">
        <v>24480</v>
      </c>
      <c r="D184" s="49">
        <v>26996.1</v>
      </c>
      <c r="E184" s="47">
        <f t="shared" si="11"/>
        <v>51476.1</v>
      </c>
      <c r="F184" s="49">
        <v>51476.1</v>
      </c>
    </row>
    <row r="185" spans="2:6" ht="18" customHeight="1" thickBot="1" x14ac:dyDescent="0.35">
      <c r="B185" s="12" t="s">
        <v>24</v>
      </c>
      <c r="C185" s="46">
        <f>SUM(C186)</f>
        <v>1260</v>
      </c>
      <c r="D185" s="46">
        <f>SUM(D186)</f>
        <v>-896.34</v>
      </c>
      <c r="E185" s="46">
        <f>SUM(E186)</f>
        <v>363.65999999999997</v>
      </c>
      <c r="F185" s="46">
        <f>SUM(F186)</f>
        <v>363.66</v>
      </c>
    </row>
    <row r="186" spans="2:6" ht="18" customHeight="1" thickBot="1" x14ac:dyDescent="0.3">
      <c r="B186" s="18" t="s">
        <v>25</v>
      </c>
      <c r="C186" s="49">
        <v>1260</v>
      </c>
      <c r="D186" s="49">
        <v>-896.34</v>
      </c>
      <c r="E186" s="49">
        <f>C186+D186</f>
        <v>363.65999999999997</v>
      </c>
      <c r="F186" s="49">
        <v>363.66</v>
      </c>
    </row>
    <row r="187" spans="2:6" ht="18" customHeight="1" thickBot="1" x14ac:dyDescent="0.35">
      <c r="B187" s="12" t="s">
        <v>38</v>
      </c>
      <c r="C187" s="46">
        <f>SUM(C188:C191)</f>
        <v>0</v>
      </c>
      <c r="D187" s="46">
        <f>SUM(D188:D191)</f>
        <v>535</v>
      </c>
      <c r="E187" s="46">
        <f>SUM(E188:E191)</f>
        <v>535</v>
      </c>
      <c r="F187" s="46">
        <f>SUM(F188:F191)</f>
        <v>535</v>
      </c>
    </row>
    <row r="188" spans="2:6" ht="18" customHeight="1" x14ac:dyDescent="0.25">
      <c r="B188" s="16" t="s">
        <v>42</v>
      </c>
      <c r="C188" s="50"/>
      <c r="D188" s="50"/>
      <c r="E188" s="47">
        <f t="shared" ref="E188:E191" si="12">C188+D188</f>
        <v>0</v>
      </c>
      <c r="F188" s="50"/>
    </row>
    <row r="189" spans="2:6" ht="18" customHeight="1" x14ac:dyDescent="0.25">
      <c r="B189" s="25" t="s">
        <v>45</v>
      </c>
      <c r="C189" s="47"/>
      <c r="D189" s="47">
        <v>535</v>
      </c>
      <c r="E189" s="47">
        <f t="shared" si="12"/>
        <v>535</v>
      </c>
      <c r="F189" s="47">
        <v>535</v>
      </c>
    </row>
    <row r="190" spans="2:6" ht="18" customHeight="1" x14ac:dyDescent="0.25">
      <c r="B190" s="25" t="s">
        <v>43</v>
      </c>
      <c r="C190" s="48"/>
      <c r="D190" s="48"/>
      <c r="E190" s="47">
        <f t="shared" si="12"/>
        <v>0</v>
      </c>
      <c r="F190" s="48"/>
    </row>
    <row r="191" spans="2:6" ht="18" customHeight="1" thickBot="1" x14ac:dyDescent="0.3">
      <c r="B191" s="16" t="s">
        <v>39</v>
      </c>
      <c r="C191" s="49"/>
      <c r="D191" s="49"/>
      <c r="E191" s="47">
        <f t="shared" si="12"/>
        <v>0</v>
      </c>
      <c r="F191" s="49"/>
    </row>
    <row r="192" spans="2:6" ht="18" customHeight="1" thickBot="1" x14ac:dyDescent="0.35">
      <c r="B192" s="13" t="s">
        <v>3</v>
      </c>
      <c r="C192" s="3">
        <f>SUM(C151+C159+C181+C185+C187)</f>
        <v>18719588</v>
      </c>
      <c r="D192" s="3">
        <f>SUM(D151+D159+D181+D185+D187)</f>
        <v>646005.52</v>
      </c>
      <c r="E192" s="3">
        <f>SUM(E151+E159+E181+E185+E187)</f>
        <v>19365593.52</v>
      </c>
      <c r="F192" s="3">
        <f>SUM(F151+F159+F181+F185+F187)</f>
        <v>19365593.509999998</v>
      </c>
    </row>
    <row r="194" spans="2:6" ht="18" customHeight="1" x14ac:dyDescent="0.2">
      <c r="B194" s="66" t="s">
        <v>63</v>
      </c>
      <c r="C194" s="67"/>
      <c r="E194"/>
    </row>
    <row r="195" spans="2:6" ht="18" customHeight="1" x14ac:dyDescent="0.2">
      <c r="B195" s="66" t="s">
        <v>66</v>
      </c>
      <c r="C195" s="66"/>
      <c r="E195"/>
    </row>
    <row r="196" spans="2:6" ht="18" customHeight="1" thickBot="1" x14ac:dyDescent="0.25">
      <c r="B196" s="1"/>
      <c r="C196" s="1"/>
      <c r="E196"/>
    </row>
    <row r="197" spans="2:6" ht="18" customHeight="1" x14ac:dyDescent="0.2">
      <c r="B197" s="114" t="s">
        <v>67</v>
      </c>
      <c r="C197" s="140" t="s">
        <v>68</v>
      </c>
      <c r="D197" s="117" t="s">
        <v>46</v>
      </c>
      <c r="E197" s="124" t="s">
        <v>44</v>
      </c>
      <c r="F197" s="124" t="s">
        <v>47</v>
      </c>
    </row>
    <row r="198" spans="2:6" ht="18" customHeight="1" x14ac:dyDescent="0.2">
      <c r="B198" s="115"/>
      <c r="C198" s="141"/>
      <c r="D198" s="118"/>
      <c r="E198" s="125"/>
      <c r="F198" s="125"/>
    </row>
    <row r="199" spans="2:6" ht="18" customHeight="1" thickBot="1" x14ac:dyDescent="0.25">
      <c r="B199" s="116"/>
      <c r="C199" s="142"/>
      <c r="D199" s="119"/>
      <c r="E199" s="126"/>
      <c r="F199" s="126"/>
    </row>
    <row r="200" spans="2:6" ht="18" customHeight="1" x14ac:dyDescent="0.3">
      <c r="B200" s="122"/>
      <c r="C200" s="137">
        <f>SUM(C202:C207)</f>
        <v>4000000</v>
      </c>
      <c r="D200" s="120">
        <f>SUM(D202:D207)</f>
        <v>-4000000</v>
      </c>
      <c r="E200" s="120">
        <f>SUM(E202:E207)</f>
        <v>0</v>
      </c>
      <c r="F200" s="63">
        <f>SUM(F202:F207)</f>
        <v>0</v>
      </c>
    </row>
    <row r="201" spans="2:6" ht="18" customHeight="1" thickBot="1" x14ac:dyDescent="0.35">
      <c r="B201" s="123"/>
      <c r="C201" s="138"/>
      <c r="D201" s="121"/>
      <c r="E201" s="121"/>
      <c r="F201" s="64"/>
    </row>
    <row r="202" spans="2:6" ht="18" customHeight="1" x14ac:dyDescent="0.2">
      <c r="B202" s="139" t="s">
        <v>69</v>
      </c>
      <c r="C202" s="134">
        <v>1413500</v>
      </c>
      <c r="D202" s="134">
        <v>-1413500</v>
      </c>
      <c r="E202" s="134">
        <f>+C202+D202</f>
        <v>0</v>
      </c>
      <c r="F202" s="68"/>
    </row>
    <row r="203" spans="2:6" ht="18" customHeight="1" thickBot="1" x14ac:dyDescent="0.25">
      <c r="B203" s="132"/>
      <c r="C203" s="133"/>
      <c r="D203" s="133"/>
      <c r="E203" s="133"/>
      <c r="F203" s="69"/>
    </row>
    <row r="204" spans="2:6" ht="18" customHeight="1" x14ac:dyDescent="0.2">
      <c r="B204" s="131" t="s">
        <v>70</v>
      </c>
      <c r="C204" s="129">
        <v>2499910</v>
      </c>
      <c r="D204" s="129">
        <v>-2499910</v>
      </c>
      <c r="E204" s="134">
        <f t="shared" ref="E204" si="13">+C204+D204</f>
        <v>0</v>
      </c>
      <c r="F204" s="70"/>
    </row>
    <row r="205" spans="2:6" ht="18" customHeight="1" thickBot="1" x14ac:dyDescent="0.25">
      <c r="B205" s="132" t="s">
        <v>33</v>
      </c>
      <c r="C205" s="133"/>
      <c r="D205" s="133"/>
      <c r="E205" s="133"/>
      <c r="F205" s="69"/>
    </row>
    <row r="206" spans="2:6" ht="18" customHeight="1" x14ac:dyDescent="0.2">
      <c r="B206" s="135" t="s">
        <v>71</v>
      </c>
      <c r="C206" s="129">
        <v>86590</v>
      </c>
      <c r="D206" s="129">
        <v>-86590</v>
      </c>
      <c r="E206" s="134">
        <f t="shared" ref="E206" si="14">+C206+D206</f>
        <v>0</v>
      </c>
      <c r="F206" s="70"/>
    </row>
    <row r="207" spans="2:6" ht="18" customHeight="1" thickBot="1" x14ac:dyDescent="0.25">
      <c r="B207" s="136"/>
      <c r="C207" s="130"/>
      <c r="D207" s="130"/>
      <c r="E207" s="133"/>
      <c r="F207" s="71"/>
    </row>
    <row r="209" spans="1:6" ht="18" customHeight="1" x14ac:dyDescent="0.2">
      <c r="A209" s="2" t="s">
        <v>36</v>
      </c>
      <c r="B209" s="2"/>
    </row>
    <row r="210" spans="1:6" ht="18" customHeight="1" x14ac:dyDescent="0.2">
      <c r="A210" s="2" t="s">
        <v>1</v>
      </c>
      <c r="B210" s="2"/>
    </row>
    <row r="211" spans="1:6" ht="18" customHeight="1" x14ac:dyDescent="0.2">
      <c r="A211" s="2" t="s">
        <v>2</v>
      </c>
      <c r="B211" s="2"/>
    </row>
    <row r="212" spans="1:6" ht="18" customHeight="1" x14ac:dyDescent="0.2">
      <c r="B212" s="2"/>
    </row>
    <row r="213" spans="1:6" ht="18" customHeight="1" x14ac:dyDescent="0.35">
      <c r="A213" s="32" t="s">
        <v>57</v>
      </c>
      <c r="B213" s="32"/>
      <c r="C213" s="32"/>
      <c r="D213" s="32"/>
      <c r="E213" s="39"/>
    </row>
    <row r="214" spans="1:6" ht="18" customHeight="1" x14ac:dyDescent="0.35">
      <c r="A214" s="112" t="s">
        <v>51</v>
      </c>
      <c r="B214" s="112"/>
      <c r="C214" s="112"/>
      <c r="D214" s="112"/>
      <c r="E214" s="112"/>
    </row>
    <row r="215" spans="1:6" ht="18" customHeight="1" x14ac:dyDescent="0.4">
      <c r="B215" s="113"/>
      <c r="C215" s="113"/>
      <c r="D215" s="37"/>
      <c r="E215" s="112" t="s">
        <v>55</v>
      </c>
      <c r="F215" s="112"/>
    </row>
    <row r="216" spans="1:6" ht="18" customHeight="1" x14ac:dyDescent="0.25">
      <c r="B216" s="33" t="s">
        <v>0</v>
      </c>
      <c r="C216" s="31"/>
      <c r="D216" s="31"/>
    </row>
    <row r="217" spans="1:6" ht="18" customHeight="1" x14ac:dyDescent="0.25">
      <c r="A217" s="31"/>
      <c r="B217" s="34" t="s">
        <v>41</v>
      </c>
      <c r="C217" s="31"/>
      <c r="D217" s="31"/>
    </row>
    <row r="218" spans="1:6" ht="18" customHeight="1" thickBot="1" x14ac:dyDescent="0.25">
      <c r="B218" s="1"/>
      <c r="C218" s="1"/>
      <c r="D218" s="1"/>
    </row>
    <row r="219" spans="1:6" ht="18" customHeight="1" x14ac:dyDescent="0.2">
      <c r="B219" s="114" t="s">
        <v>52</v>
      </c>
      <c r="C219" s="124" t="s">
        <v>48</v>
      </c>
      <c r="D219" s="124" t="s">
        <v>46</v>
      </c>
      <c r="E219" s="124" t="s">
        <v>44</v>
      </c>
      <c r="F219" s="124" t="s">
        <v>47</v>
      </c>
    </row>
    <row r="220" spans="1:6" ht="18" customHeight="1" x14ac:dyDescent="0.2">
      <c r="B220" s="115"/>
      <c r="C220" s="125"/>
      <c r="D220" s="125"/>
      <c r="E220" s="125"/>
      <c r="F220" s="125"/>
    </row>
    <row r="221" spans="1:6" ht="18" customHeight="1" thickBot="1" x14ac:dyDescent="0.25">
      <c r="B221" s="116"/>
      <c r="C221" s="126"/>
      <c r="D221" s="126"/>
      <c r="E221" s="126"/>
      <c r="F221" s="126"/>
    </row>
    <row r="222" spans="1:6" ht="18" customHeight="1" x14ac:dyDescent="0.2">
      <c r="B222" s="122" t="s">
        <v>4</v>
      </c>
      <c r="C222" s="127">
        <f>SUM(C224:C229)</f>
        <v>12377952</v>
      </c>
      <c r="D222" s="127">
        <f>SUM(D224:D229)</f>
        <v>-508811.08999999997</v>
      </c>
      <c r="E222" s="127">
        <f>SUM(E224:E229)</f>
        <v>11869140.91</v>
      </c>
      <c r="F222" s="127">
        <f>SUM(F224:F229)</f>
        <v>11869123.58</v>
      </c>
    </row>
    <row r="223" spans="1:6" ht="18" customHeight="1" thickBot="1" x14ac:dyDescent="0.25">
      <c r="B223" s="123"/>
      <c r="C223" s="128"/>
      <c r="D223" s="128"/>
      <c r="E223" s="128"/>
      <c r="F223" s="128"/>
    </row>
    <row r="224" spans="1:6" ht="18" customHeight="1" x14ac:dyDescent="0.25">
      <c r="B224" s="14" t="s">
        <v>31</v>
      </c>
      <c r="C224" s="40">
        <v>10877769</v>
      </c>
      <c r="D224" s="40">
        <v>-583674.81999999995</v>
      </c>
      <c r="E224" s="40">
        <f t="shared" ref="E224:E229" si="15">C224+D224</f>
        <v>10294094.18</v>
      </c>
      <c r="F224" s="40">
        <v>10294076.859999999</v>
      </c>
    </row>
    <row r="225" spans="2:6" ht="18" customHeight="1" x14ac:dyDescent="0.25">
      <c r="B225" s="7" t="s">
        <v>32</v>
      </c>
      <c r="C225" s="40"/>
      <c r="D225" s="40"/>
      <c r="E225" s="40">
        <f t="shared" si="15"/>
        <v>0</v>
      </c>
      <c r="F225" s="40"/>
    </row>
    <row r="226" spans="2:6" ht="18" customHeight="1" x14ac:dyDescent="0.25">
      <c r="B226" s="7" t="s">
        <v>40</v>
      </c>
      <c r="C226" s="40"/>
      <c r="D226" s="40"/>
      <c r="E226" s="40">
        <f t="shared" si="15"/>
        <v>0</v>
      </c>
      <c r="F226" s="40"/>
    </row>
    <row r="227" spans="2:6" ht="18" customHeight="1" x14ac:dyDescent="0.25">
      <c r="B227" s="7" t="s">
        <v>33</v>
      </c>
      <c r="C227" s="40">
        <v>985014</v>
      </c>
      <c r="D227" s="40">
        <v>-124805.34</v>
      </c>
      <c r="E227" s="40">
        <f t="shared" si="15"/>
        <v>860208.66</v>
      </c>
      <c r="F227" s="40">
        <v>860208.66</v>
      </c>
    </row>
    <row r="228" spans="2:6" ht="18" customHeight="1" x14ac:dyDescent="0.25">
      <c r="B228" s="8" t="s">
        <v>34</v>
      </c>
      <c r="C228" s="40">
        <v>515169</v>
      </c>
      <c r="D228" s="40">
        <v>596.35</v>
      </c>
      <c r="E228" s="40">
        <f t="shared" si="15"/>
        <v>515765.35</v>
      </c>
      <c r="F228" s="40">
        <v>515765.34</v>
      </c>
    </row>
    <row r="229" spans="2:6" ht="18" customHeight="1" thickBot="1" x14ac:dyDescent="0.3">
      <c r="B229" s="23" t="s">
        <v>35</v>
      </c>
      <c r="C229" s="51"/>
      <c r="D229" s="40">
        <v>199072.72</v>
      </c>
      <c r="E229" s="40">
        <f t="shared" si="15"/>
        <v>199072.72</v>
      </c>
      <c r="F229" s="51">
        <v>199072.72</v>
      </c>
    </row>
    <row r="230" spans="2:6" ht="18" customHeight="1" x14ac:dyDescent="0.2">
      <c r="B230" s="122" t="s">
        <v>29</v>
      </c>
      <c r="C230" s="127">
        <f>C232+C237+C239+C245+C248+C251</f>
        <v>16685260</v>
      </c>
      <c r="D230" s="127">
        <f t="shared" ref="D230:F230" si="16">D232+D237+D239+D245+D248+D251</f>
        <v>1995319.65</v>
      </c>
      <c r="E230" s="127">
        <f t="shared" si="16"/>
        <v>18680579.649999999</v>
      </c>
      <c r="F230" s="127">
        <f t="shared" si="16"/>
        <v>18680579.649999999</v>
      </c>
    </row>
    <row r="231" spans="2:6" ht="18" customHeight="1" thickBot="1" x14ac:dyDescent="0.25">
      <c r="B231" s="123"/>
      <c r="C231" s="128"/>
      <c r="D231" s="128"/>
      <c r="E231" s="128"/>
      <c r="F231" s="128"/>
    </row>
    <row r="232" spans="2:6" ht="18" customHeight="1" x14ac:dyDescent="0.25">
      <c r="B232" s="6" t="s">
        <v>11</v>
      </c>
      <c r="C232" s="41">
        <f>SUM(C233:C236)</f>
        <v>1514935</v>
      </c>
      <c r="D232" s="41">
        <f>SUM(D233:D236)</f>
        <v>279454.25</v>
      </c>
      <c r="E232" s="41">
        <f>SUM(E233:E236)</f>
        <v>1794389.25</v>
      </c>
      <c r="F232" s="41">
        <f>SUM(F233:F236)</f>
        <v>1794389.25</v>
      </c>
    </row>
    <row r="233" spans="2:6" ht="18" customHeight="1" x14ac:dyDescent="0.25">
      <c r="B233" s="7" t="s">
        <v>5</v>
      </c>
      <c r="C233" s="42">
        <v>677875</v>
      </c>
      <c r="D233" s="42">
        <v>309614.01</v>
      </c>
      <c r="E233" s="42">
        <f>C233+D233</f>
        <v>987489.01</v>
      </c>
      <c r="F233" s="42">
        <v>987489.01</v>
      </c>
    </row>
    <row r="234" spans="2:6" ht="18" customHeight="1" x14ac:dyDescent="0.25">
      <c r="B234" s="7" t="s">
        <v>6</v>
      </c>
      <c r="C234" s="42">
        <v>700200</v>
      </c>
      <c r="D234" s="42">
        <v>-50516.89</v>
      </c>
      <c r="E234" s="42">
        <f>C234+D234</f>
        <v>649683.11</v>
      </c>
      <c r="F234" s="42">
        <v>649683.11</v>
      </c>
    </row>
    <row r="235" spans="2:6" ht="18" customHeight="1" x14ac:dyDescent="0.25">
      <c r="B235" s="7" t="s">
        <v>7</v>
      </c>
      <c r="C235" s="42">
        <v>134160</v>
      </c>
      <c r="D235" s="42">
        <v>21309.94</v>
      </c>
      <c r="E235" s="42">
        <f>C235+D235</f>
        <v>155469.94</v>
      </c>
      <c r="F235" s="42">
        <v>155469.94</v>
      </c>
    </row>
    <row r="236" spans="2:6" ht="18" customHeight="1" x14ac:dyDescent="0.25">
      <c r="B236" s="8" t="s">
        <v>8</v>
      </c>
      <c r="C236" s="42">
        <v>2700</v>
      </c>
      <c r="D236" s="42">
        <v>-952.81</v>
      </c>
      <c r="E236" s="42">
        <f>C236+D236</f>
        <v>1747.19</v>
      </c>
      <c r="F236" s="42">
        <v>1747.19</v>
      </c>
    </row>
    <row r="237" spans="2:6" ht="18" customHeight="1" x14ac:dyDescent="0.25">
      <c r="B237" s="9" t="s">
        <v>12</v>
      </c>
      <c r="C237" s="43">
        <f>SUM(C238)</f>
        <v>14309460</v>
      </c>
      <c r="D237" s="43">
        <f>SUM(D238)</f>
        <v>1241272.71</v>
      </c>
      <c r="E237" s="43">
        <f>SUM(E238)</f>
        <v>15550732.710000001</v>
      </c>
      <c r="F237" s="43">
        <f>SUM(F238)</f>
        <v>15550732.710000001</v>
      </c>
    </row>
    <row r="238" spans="2:6" ht="18" customHeight="1" x14ac:dyDescent="0.25">
      <c r="B238" s="10" t="s">
        <v>16</v>
      </c>
      <c r="C238" s="42">
        <v>14309460</v>
      </c>
      <c r="D238" s="42">
        <v>1241272.71</v>
      </c>
      <c r="E238" s="42">
        <f>C238+D238</f>
        <v>15550732.710000001</v>
      </c>
      <c r="F238" s="42">
        <v>15550732.710000001</v>
      </c>
    </row>
    <row r="239" spans="2:6" ht="18" customHeight="1" x14ac:dyDescent="0.25">
      <c r="B239" s="11" t="s">
        <v>21</v>
      </c>
      <c r="C239" s="44">
        <f>SUM(C240:C244)</f>
        <v>451370</v>
      </c>
      <c r="D239" s="44">
        <f>SUM(D240:D244)</f>
        <v>158125.49</v>
      </c>
      <c r="E239" s="44">
        <f>SUM(E240:E244)</f>
        <v>609495.49</v>
      </c>
      <c r="F239" s="44">
        <f>SUM(F240:F244)</f>
        <v>609495.49</v>
      </c>
    </row>
    <row r="240" spans="2:6" ht="18" customHeight="1" x14ac:dyDescent="0.25">
      <c r="B240" s="8" t="s">
        <v>20</v>
      </c>
      <c r="C240" s="42">
        <v>27420</v>
      </c>
      <c r="D240" s="42">
        <v>1752.4</v>
      </c>
      <c r="E240" s="42">
        <f>C240+D240</f>
        <v>29172.400000000001</v>
      </c>
      <c r="F240" s="42">
        <v>29172.400000000001</v>
      </c>
    </row>
    <row r="241" spans="2:6" ht="18" customHeight="1" x14ac:dyDescent="0.25">
      <c r="B241" s="8" t="s">
        <v>30</v>
      </c>
      <c r="C241" s="42">
        <v>30525</v>
      </c>
      <c r="D241" s="42">
        <v>9569.43</v>
      </c>
      <c r="E241" s="42">
        <f>C241+D241</f>
        <v>40094.43</v>
      </c>
      <c r="F241" s="42">
        <v>40094.43</v>
      </c>
    </row>
    <row r="242" spans="2:6" ht="18" customHeight="1" x14ac:dyDescent="0.25">
      <c r="B242" s="8" t="s">
        <v>19</v>
      </c>
      <c r="C242" s="42">
        <f>16310+142835</f>
        <v>159145</v>
      </c>
      <c r="D242" s="42">
        <f>23950.48-3522.6</f>
        <v>20427.88</v>
      </c>
      <c r="E242" s="42">
        <f t="shared" ref="E242:E244" si="17">C242+D242</f>
        <v>179572.88</v>
      </c>
      <c r="F242" s="42">
        <f>40260.48+139312.4</f>
        <v>179572.88</v>
      </c>
    </row>
    <row r="243" spans="2:6" ht="18" customHeight="1" x14ac:dyDescent="0.25">
      <c r="B243" s="8" t="s">
        <v>17</v>
      </c>
      <c r="C243" s="42">
        <v>149065</v>
      </c>
      <c r="D243" s="42">
        <v>154246.76999999999</v>
      </c>
      <c r="E243" s="42">
        <f t="shared" si="17"/>
        <v>303311.77</v>
      </c>
      <c r="F243" s="42">
        <v>303311.77</v>
      </c>
    </row>
    <row r="244" spans="2:6" ht="18" customHeight="1" x14ac:dyDescent="0.25">
      <c r="B244" s="8" t="s">
        <v>18</v>
      </c>
      <c r="C244" s="42">
        <v>85215</v>
      </c>
      <c r="D244" s="42">
        <v>-27870.99</v>
      </c>
      <c r="E244" s="42">
        <f t="shared" si="17"/>
        <v>57344.009999999995</v>
      </c>
      <c r="F244" s="42">
        <v>57344.01</v>
      </c>
    </row>
    <row r="245" spans="2:6" ht="18" customHeight="1" x14ac:dyDescent="0.25">
      <c r="B245" s="11" t="s">
        <v>26</v>
      </c>
      <c r="C245" s="44">
        <f>SUM(C246:C247)</f>
        <v>93915</v>
      </c>
      <c r="D245" s="44">
        <f>SUM(D246:D247)</f>
        <v>74009.429999999993</v>
      </c>
      <c r="E245" s="44">
        <f>SUM(E246:E247)</f>
        <v>167924.43</v>
      </c>
      <c r="F245" s="44">
        <f>SUM(F246:F247)</f>
        <v>167924.43</v>
      </c>
    </row>
    <row r="246" spans="2:6" ht="18" customHeight="1" x14ac:dyDescent="0.25">
      <c r="B246" s="8" t="s">
        <v>27</v>
      </c>
      <c r="C246" s="42">
        <v>33915</v>
      </c>
      <c r="D246" s="42">
        <v>33921.839999999997</v>
      </c>
      <c r="E246" s="42">
        <f>C246+D246</f>
        <v>67836.84</v>
      </c>
      <c r="F246" s="42">
        <v>67836.84</v>
      </c>
    </row>
    <row r="247" spans="2:6" ht="18" customHeight="1" x14ac:dyDescent="0.25">
      <c r="B247" s="8" t="s">
        <v>28</v>
      </c>
      <c r="C247" s="42">
        <v>60000</v>
      </c>
      <c r="D247" s="42">
        <v>40087.589999999997</v>
      </c>
      <c r="E247" s="42">
        <f>C247+D247</f>
        <v>100087.59</v>
      </c>
      <c r="F247" s="42">
        <v>100087.59</v>
      </c>
    </row>
    <row r="248" spans="2:6" ht="18" customHeight="1" x14ac:dyDescent="0.25">
      <c r="B248" s="11" t="s">
        <v>13</v>
      </c>
      <c r="C248" s="44">
        <f>SUM(C249:C250)</f>
        <v>178880</v>
      </c>
      <c r="D248" s="44">
        <f>SUM(D249:D250)</f>
        <v>31120</v>
      </c>
      <c r="E248" s="44">
        <f>SUM(E249:E250)</f>
        <v>210000</v>
      </c>
      <c r="F248" s="44">
        <f>SUM(F249:F250)</f>
        <v>210000</v>
      </c>
    </row>
    <row r="249" spans="2:6" ht="18" customHeight="1" x14ac:dyDescent="0.25">
      <c r="B249" s="8" t="s">
        <v>9</v>
      </c>
      <c r="C249" s="42">
        <v>55680</v>
      </c>
      <c r="D249" s="42">
        <v>9300</v>
      </c>
      <c r="E249" s="42">
        <f>C249+D249</f>
        <v>64980</v>
      </c>
      <c r="F249" s="42">
        <v>64980</v>
      </c>
    </row>
    <row r="250" spans="2:6" ht="18" customHeight="1" x14ac:dyDescent="0.25">
      <c r="B250" s="8" t="s">
        <v>10</v>
      </c>
      <c r="C250" s="42">
        <v>123200</v>
      </c>
      <c r="D250" s="42">
        <v>21820</v>
      </c>
      <c r="E250" s="42">
        <f>C250+D250</f>
        <v>145020</v>
      </c>
      <c r="F250" s="42">
        <v>145020</v>
      </c>
    </row>
    <row r="251" spans="2:6" ht="18" customHeight="1" thickBot="1" x14ac:dyDescent="0.3">
      <c r="B251" s="15" t="s">
        <v>14</v>
      </c>
      <c r="C251" s="52">
        <f>6320+28350+3190+520+1695+5000+62000+1125+28500</f>
        <v>136700</v>
      </c>
      <c r="D251" s="52">
        <f>+(177505.3+11.78+1444.18+99+21+725.42+244.78+766.82+2057+25751.8+4972.32+25277.55+5734)-(27849.8+87.1+109.28+4716.5+510.5)</f>
        <v>211337.77</v>
      </c>
      <c r="E251" s="42">
        <f>C251+D251</f>
        <v>348037.77</v>
      </c>
      <c r="F251" s="59">
        <f>177505.3+11.78+7764.18+500.2+99+21+3102.9+725.42+244.78+766.82+410.72+3752+283.5+87751.8+614.5+4972.32+53777.55+5734</f>
        <v>348037.77</v>
      </c>
    </row>
    <row r="252" spans="2:6" ht="18" customHeight="1" thickBot="1" x14ac:dyDescent="0.35">
      <c r="B252" s="12" t="s">
        <v>22</v>
      </c>
      <c r="C252" s="46">
        <f>SUM(C253:C255)</f>
        <v>152710</v>
      </c>
      <c r="D252" s="46">
        <f>SUM(D253:D255)</f>
        <v>77580.83</v>
      </c>
      <c r="E252" s="46">
        <f>SUM(E253:E255)</f>
        <v>230290.83000000002</v>
      </c>
      <c r="F252" s="46">
        <f>SUM(F253:F255)</f>
        <v>230290.82</v>
      </c>
    </row>
    <row r="253" spans="2:6" ht="18" customHeight="1" x14ac:dyDescent="0.25">
      <c r="B253" s="16" t="s">
        <v>15</v>
      </c>
      <c r="C253" s="47">
        <v>128230</v>
      </c>
      <c r="D253" s="47">
        <v>15184.14</v>
      </c>
      <c r="E253" s="47">
        <f>C253+D253</f>
        <v>143414.14000000001</v>
      </c>
      <c r="F253" s="47">
        <v>143414.13</v>
      </c>
    </row>
    <row r="254" spans="2:6" ht="18" customHeight="1" x14ac:dyDescent="0.25">
      <c r="B254" s="16" t="s">
        <v>37</v>
      </c>
      <c r="C254" s="48"/>
      <c r="D254" s="48">
        <v>640.98</v>
      </c>
      <c r="E254" s="47">
        <f>C254+D254</f>
        <v>640.98</v>
      </c>
      <c r="F254" s="48">
        <v>640.98</v>
      </c>
    </row>
    <row r="255" spans="2:6" ht="18" customHeight="1" thickBot="1" x14ac:dyDescent="0.3">
      <c r="B255" s="17" t="s">
        <v>23</v>
      </c>
      <c r="C255" s="49">
        <v>24480</v>
      </c>
      <c r="D255" s="49">
        <v>61755.71</v>
      </c>
      <c r="E255" s="49">
        <f>C255+D255</f>
        <v>86235.709999999992</v>
      </c>
      <c r="F255" s="49">
        <v>86235.71</v>
      </c>
    </row>
    <row r="256" spans="2:6" ht="18" customHeight="1" thickBot="1" x14ac:dyDescent="0.35">
      <c r="B256" s="12" t="s">
        <v>24</v>
      </c>
      <c r="C256" s="46">
        <f>SUM(C257)</f>
        <v>2515</v>
      </c>
      <c r="D256" s="46">
        <f>SUM(D257)</f>
        <v>-2151.34</v>
      </c>
      <c r="E256" s="46">
        <f>SUM(E257)</f>
        <v>363.65999999999985</v>
      </c>
      <c r="F256" s="46">
        <f>SUM(F257)</f>
        <v>363.66</v>
      </c>
    </row>
    <row r="257" spans="2:6" ht="18" customHeight="1" thickBot="1" x14ac:dyDescent="0.3">
      <c r="B257" s="18" t="s">
        <v>25</v>
      </c>
      <c r="C257" s="49">
        <v>2515</v>
      </c>
      <c r="D257" s="49">
        <v>-2151.34</v>
      </c>
      <c r="E257" s="49">
        <f>C257+D257</f>
        <v>363.65999999999985</v>
      </c>
      <c r="F257" s="49">
        <v>363.66</v>
      </c>
    </row>
    <row r="258" spans="2:6" ht="18" customHeight="1" thickBot="1" x14ac:dyDescent="0.35">
      <c r="B258" s="12" t="s">
        <v>38</v>
      </c>
      <c r="C258" s="46">
        <f>SUM(C259:C262)</f>
        <v>0</v>
      </c>
      <c r="D258" s="46">
        <f t="shared" ref="D258:F258" si="18">SUM(D259:D262)</f>
        <v>535</v>
      </c>
      <c r="E258" s="46">
        <f t="shared" si="18"/>
        <v>535</v>
      </c>
      <c r="F258" s="46">
        <f t="shared" si="18"/>
        <v>535</v>
      </c>
    </row>
    <row r="259" spans="2:6" ht="18" customHeight="1" x14ac:dyDescent="0.25">
      <c r="B259" s="16" t="s">
        <v>42</v>
      </c>
      <c r="C259" s="50"/>
      <c r="D259" s="50"/>
      <c r="E259" s="47">
        <f t="shared" ref="E259:E262" si="19">C259+D259</f>
        <v>0</v>
      </c>
      <c r="F259" s="50"/>
    </row>
    <row r="260" spans="2:6" ht="18" customHeight="1" x14ac:dyDescent="0.25">
      <c r="B260" s="25" t="s">
        <v>45</v>
      </c>
      <c r="C260" s="47"/>
      <c r="D260" s="47">
        <v>535</v>
      </c>
      <c r="E260" s="47">
        <f t="shared" si="19"/>
        <v>535</v>
      </c>
      <c r="F260" s="47">
        <v>535</v>
      </c>
    </row>
    <row r="261" spans="2:6" ht="18" customHeight="1" x14ac:dyDescent="0.25">
      <c r="B261" s="25" t="s">
        <v>43</v>
      </c>
      <c r="C261" s="48"/>
      <c r="D261" s="48"/>
      <c r="E261" s="47">
        <f t="shared" si="19"/>
        <v>0</v>
      </c>
      <c r="F261" s="48"/>
    </row>
    <row r="262" spans="2:6" ht="18" customHeight="1" thickBot="1" x14ac:dyDescent="0.3">
      <c r="B262" s="16" t="s">
        <v>39</v>
      </c>
      <c r="C262" s="49"/>
      <c r="D262" s="49"/>
      <c r="E262" s="47">
        <f t="shared" si="19"/>
        <v>0</v>
      </c>
      <c r="F262" s="49"/>
    </row>
    <row r="263" spans="2:6" ht="18" customHeight="1" thickBot="1" x14ac:dyDescent="0.35">
      <c r="B263" s="13" t="s">
        <v>3</v>
      </c>
      <c r="C263" s="3">
        <f>SUM(C222+C230+C252+C256+C258)</f>
        <v>29218437</v>
      </c>
      <c r="D263" s="3">
        <f>SUM(D222+D230+D252+D256+D258)</f>
        <v>1562473.05</v>
      </c>
      <c r="E263" s="3">
        <f>SUM(E222+E230+E252+E256+E258)</f>
        <v>30780910.049999997</v>
      </c>
      <c r="F263" s="3">
        <f>SUM(F222+F230+F252+F256+F258)</f>
        <v>30780892.709999997</v>
      </c>
    </row>
    <row r="265" spans="2:6" ht="18" customHeight="1" x14ac:dyDescent="0.2">
      <c r="D265" s="54"/>
      <c r="F265" s="55"/>
    </row>
    <row r="266" spans="2:6" ht="18" customHeight="1" x14ac:dyDescent="0.2">
      <c r="B266" s="66" t="s">
        <v>63</v>
      </c>
      <c r="C266" s="67"/>
      <c r="E266"/>
    </row>
    <row r="267" spans="2:6" ht="18" customHeight="1" x14ac:dyDescent="0.2">
      <c r="B267" s="66" t="s">
        <v>66</v>
      </c>
      <c r="C267" s="66"/>
      <c r="E267"/>
    </row>
    <row r="268" spans="2:6" ht="18" customHeight="1" thickBot="1" x14ac:dyDescent="0.25">
      <c r="B268" s="1"/>
      <c r="C268" s="1"/>
      <c r="E268"/>
    </row>
    <row r="269" spans="2:6" ht="18" customHeight="1" x14ac:dyDescent="0.2">
      <c r="B269" s="114" t="s">
        <v>67</v>
      </c>
      <c r="C269" s="140" t="s">
        <v>68</v>
      </c>
      <c r="D269" s="117" t="s">
        <v>46</v>
      </c>
      <c r="E269" s="124" t="s">
        <v>44</v>
      </c>
      <c r="F269" s="124" t="s">
        <v>47</v>
      </c>
    </row>
    <row r="270" spans="2:6" ht="18" customHeight="1" x14ac:dyDescent="0.2">
      <c r="B270" s="115"/>
      <c r="C270" s="141"/>
      <c r="D270" s="118"/>
      <c r="E270" s="125"/>
      <c r="F270" s="125"/>
    </row>
    <row r="271" spans="2:6" ht="18" customHeight="1" thickBot="1" x14ac:dyDescent="0.25">
      <c r="B271" s="116"/>
      <c r="C271" s="142"/>
      <c r="D271" s="119"/>
      <c r="E271" s="126"/>
      <c r="F271" s="126"/>
    </row>
    <row r="272" spans="2:6" ht="18" customHeight="1" x14ac:dyDescent="0.2">
      <c r="B272" s="122"/>
      <c r="C272" s="137">
        <f>SUM(C274:C279)</f>
        <v>4000000</v>
      </c>
      <c r="D272" s="120">
        <f>SUM(D274:D279)</f>
        <v>-3979544.97</v>
      </c>
      <c r="E272" s="120">
        <f>SUM(E274:E279)</f>
        <v>20455.03</v>
      </c>
      <c r="F272" s="120">
        <f>SUM(F274:F279)</f>
        <v>20455.03</v>
      </c>
    </row>
    <row r="273" spans="2:6" ht="18" customHeight="1" thickBot="1" x14ac:dyDescent="0.25">
      <c r="B273" s="123"/>
      <c r="C273" s="138"/>
      <c r="D273" s="121"/>
      <c r="E273" s="121"/>
      <c r="F273" s="121"/>
    </row>
    <row r="274" spans="2:6" ht="18" customHeight="1" x14ac:dyDescent="0.2">
      <c r="B274" s="139" t="s">
        <v>69</v>
      </c>
      <c r="C274" s="134">
        <v>1413500</v>
      </c>
      <c r="D274" s="134">
        <v>-1413500</v>
      </c>
      <c r="E274" s="134">
        <f>+C274+D274</f>
        <v>0</v>
      </c>
      <c r="F274" s="68"/>
    </row>
    <row r="275" spans="2:6" ht="18" customHeight="1" thickBot="1" x14ac:dyDescent="0.25">
      <c r="B275" s="132"/>
      <c r="C275" s="133"/>
      <c r="D275" s="133"/>
      <c r="E275" s="133"/>
      <c r="F275" s="69"/>
    </row>
    <row r="276" spans="2:6" ht="18" customHeight="1" x14ac:dyDescent="0.2">
      <c r="B276" s="131" t="s">
        <v>70</v>
      </c>
      <c r="C276" s="129">
        <v>2499910</v>
      </c>
      <c r="D276" s="129">
        <v>-2499910</v>
      </c>
      <c r="E276" s="134">
        <f t="shared" ref="E276" si="20">+C276+D276</f>
        <v>0</v>
      </c>
      <c r="F276" s="70"/>
    </row>
    <row r="277" spans="2:6" ht="18" customHeight="1" thickBot="1" x14ac:dyDescent="0.25">
      <c r="B277" s="132" t="s">
        <v>33</v>
      </c>
      <c r="C277" s="133"/>
      <c r="D277" s="133"/>
      <c r="E277" s="133"/>
      <c r="F277" s="69"/>
    </row>
    <row r="278" spans="2:6" ht="18" customHeight="1" x14ac:dyDescent="0.2">
      <c r="B278" s="135" t="s">
        <v>71</v>
      </c>
      <c r="C278" s="129">
        <v>86590</v>
      </c>
      <c r="D278" s="129">
        <v>-66134.97</v>
      </c>
      <c r="E278" s="134">
        <f t="shared" ref="E278" si="21">+C278+D278</f>
        <v>20455.03</v>
      </c>
      <c r="F278" s="129">
        <v>20455.03</v>
      </c>
    </row>
    <row r="279" spans="2:6" ht="18" customHeight="1" thickBot="1" x14ac:dyDescent="0.25">
      <c r="B279" s="136"/>
      <c r="C279" s="130"/>
      <c r="D279" s="130"/>
      <c r="E279" s="133"/>
      <c r="F279" s="130"/>
    </row>
  </sheetData>
  <mergeCells count="116">
    <mergeCell ref="A6:E6"/>
    <mergeCell ref="B7:C7"/>
    <mergeCell ref="E7:F7"/>
    <mergeCell ref="B11:B13"/>
    <mergeCell ref="C11:C13"/>
    <mergeCell ref="D11:D13"/>
    <mergeCell ref="E11:E13"/>
    <mergeCell ref="F11:F13"/>
    <mergeCell ref="A72:E72"/>
    <mergeCell ref="B73:C73"/>
    <mergeCell ref="E73:F73"/>
    <mergeCell ref="B77:B79"/>
    <mergeCell ref="C77:C79"/>
    <mergeCell ref="D77:D79"/>
    <mergeCell ref="E77:E79"/>
    <mergeCell ref="F77:F79"/>
    <mergeCell ref="B14:B15"/>
    <mergeCell ref="C14:C15"/>
    <mergeCell ref="D14:D15"/>
    <mergeCell ref="E14:E15"/>
    <mergeCell ref="F14:F15"/>
    <mergeCell ref="B22:B23"/>
    <mergeCell ref="C22:C23"/>
    <mergeCell ref="D22:D23"/>
    <mergeCell ref="E22:E23"/>
    <mergeCell ref="F22:F23"/>
    <mergeCell ref="A143:E143"/>
    <mergeCell ref="B144:C144"/>
    <mergeCell ref="E144:F144"/>
    <mergeCell ref="B148:B150"/>
    <mergeCell ref="C148:C150"/>
    <mergeCell ref="D148:D150"/>
    <mergeCell ref="E148:E150"/>
    <mergeCell ref="F148:F150"/>
    <mergeCell ref="B80:B81"/>
    <mergeCell ref="C80:C81"/>
    <mergeCell ref="D80:D81"/>
    <mergeCell ref="E80:E81"/>
    <mergeCell ref="F80:F81"/>
    <mergeCell ref="B88:B89"/>
    <mergeCell ref="C88:C89"/>
    <mergeCell ref="D88:D89"/>
    <mergeCell ref="E88:E89"/>
    <mergeCell ref="F88:F89"/>
    <mergeCell ref="F197:F199"/>
    <mergeCell ref="B202:B203"/>
    <mergeCell ref="C202:C203"/>
    <mergeCell ref="D202:D203"/>
    <mergeCell ref="E202:E203"/>
    <mergeCell ref="B204:B205"/>
    <mergeCell ref="C204:C205"/>
    <mergeCell ref="D204:D205"/>
    <mergeCell ref="E204:E205"/>
    <mergeCell ref="B197:B199"/>
    <mergeCell ref="C197:C199"/>
    <mergeCell ref="B151:B152"/>
    <mergeCell ref="C151:C152"/>
    <mergeCell ref="D151:D152"/>
    <mergeCell ref="E151:E152"/>
    <mergeCell ref="F151:F152"/>
    <mergeCell ref="B159:B160"/>
    <mergeCell ref="C159:C160"/>
    <mergeCell ref="D159:D160"/>
    <mergeCell ref="E159:E160"/>
    <mergeCell ref="F159:F160"/>
    <mergeCell ref="D197:D199"/>
    <mergeCell ref="E197:E199"/>
    <mergeCell ref="B200:B201"/>
    <mergeCell ref="C200:C201"/>
    <mergeCell ref="D200:D201"/>
    <mergeCell ref="E200:E201"/>
    <mergeCell ref="B269:B271"/>
    <mergeCell ref="C269:C271"/>
    <mergeCell ref="D269:D271"/>
    <mergeCell ref="E269:E271"/>
    <mergeCell ref="D219:D221"/>
    <mergeCell ref="E219:E221"/>
    <mergeCell ref="F269:F271"/>
    <mergeCell ref="B206:B207"/>
    <mergeCell ref="C206:C207"/>
    <mergeCell ref="D206:D207"/>
    <mergeCell ref="E206:E207"/>
    <mergeCell ref="B222:B223"/>
    <mergeCell ref="C222:C223"/>
    <mergeCell ref="D222:D223"/>
    <mergeCell ref="E222:E223"/>
    <mergeCell ref="F222:F223"/>
    <mergeCell ref="B230:B231"/>
    <mergeCell ref="C230:C231"/>
    <mergeCell ref="D230:D231"/>
    <mergeCell ref="E230:E231"/>
    <mergeCell ref="F230:F231"/>
    <mergeCell ref="A214:E214"/>
    <mergeCell ref="B215:C215"/>
    <mergeCell ref="E215:F215"/>
    <mergeCell ref="B219:B221"/>
    <mergeCell ref="C219:C221"/>
    <mergeCell ref="F219:F221"/>
    <mergeCell ref="F278:F279"/>
    <mergeCell ref="F272:F273"/>
    <mergeCell ref="B276:B277"/>
    <mergeCell ref="C276:C277"/>
    <mergeCell ref="D276:D277"/>
    <mergeCell ref="E276:E277"/>
    <mergeCell ref="B278:B279"/>
    <mergeCell ref="C278:C279"/>
    <mergeCell ref="D278:D279"/>
    <mergeCell ref="E278:E279"/>
    <mergeCell ref="B272:B273"/>
    <mergeCell ref="C272:C273"/>
    <mergeCell ref="D272:D273"/>
    <mergeCell ref="E272:E273"/>
    <mergeCell ref="B274:B275"/>
    <mergeCell ref="C274:C275"/>
    <mergeCell ref="D274:D275"/>
    <mergeCell ref="E274:E275"/>
  </mergeCells>
  <pageMargins left="0.39370078740157483" right="0" top="0" bottom="0" header="0" footer="0"/>
  <pageSetup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workbookViewId="0">
      <selection activeCell="H7" sqref="H7"/>
    </sheetView>
  </sheetViews>
  <sheetFormatPr baseColWidth="10" defaultRowHeight="18" customHeight="1" x14ac:dyDescent="0.2"/>
  <cols>
    <col min="1" max="1" width="2.5703125" customWidth="1"/>
    <col min="2" max="2" width="62.140625" customWidth="1"/>
    <col min="3" max="3" width="24.28515625" customWidth="1"/>
    <col min="4" max="4" width="23.85546875" customWidth="1"/>
    <col min="5" max="5" width="23.85546875" style="38" customWidth="1"/>
    <col min="6" max="6" width="23" style="38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58</v>
      </c>
      <c r="B5" s="32"/>
      <c r="C5" s="32"/>
      <c r="D5" s="32"/>
      <c r="E5" s="39"/>
    </row>
    <row r="6" spans="1:6" ht="21.75" customHeight="1" x14ac:dyDescent="0.35">
      <c r="A6" s="112" t="s">
        <v>51</v>
      </c>
      <c r="B6" s="112"/>
      <c r="C6" s="112"/>
      <c r="D6" s="112"/>
      <c r="E6" s="112"/>
    </row>
    <row r="7" spans="1:6" ht="32.25" customHeight="1" x14ac:dyDescent="0.4">
      <c r="B7" s="113"/>
      <c r="C7" s="113"/>
      <c r="D7" s="37"/>
      <c r="E7" s="112" t="s">
        <v>49</v>
      </c>
      <c r="F7" s="112"/>
    </row>
    <row r="8" spans="1:6" ht="18" customHeight="1" x14ac:dyDescent="0.25">
      <c r="B8" s="33" t="s">
        <v>0</v>
      </c>
      <c r="C8" s="31"/>
      <c r="D8" s="31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114" t="s">
        <v>52</v>
      </c>
      <c r="C11" s="117" t="s">
        <v>48</v>
      </c>
      <c r="D11" s="117" t="s">
        <v>46</v>
      </c>
      <c r="E11" s="124" t="s">
        <v>44</v>
      </c>
      <c r="F11" s="124" t="s">
        <v>47</v>
      </c>
    </row>
    <row r="12" spans="1:6" ht="18" customHeight="1" x14ac:dyDescent="0.2">
      <c r="B12" s="115"/>
      <c r="C12" s="118"/>
      <c r="D12" s="118"/>
      <c r="E12" s="125"/>
      <c r="F12" s="125"/>
    </row>
    <row r="13" spans="1:6" ht="6" customHeight="1" thickBot="1" x14ac:dyDescent="0.25">
      <c r="B13" s="116"/>
      <c r="C13" s="119"/>
      <c r="D13" s="119"/>
      <c r="E13" s="126"/>
      <c r="F13" s="126"/>
    </row>
    <row r="14" spans="1:6" ht="18" customHeight="1" x14ac:dyDescent="0.2">
      <c r="B14" s="122" t="s">
        <v>4</v>
      </c>
      <c r="C14" s="120">
        <f>SUM(C16:C21)</f>
        <v>1370300</v>
      </c>
      <c r="D14" s="120">
        <f>SUM(D16:D21)</f>
        <v>-89084.57</v>
      </c>
      <c r="E14" s="127">
        <f>SUM(E16:E21)</f>
        <v>1281215.43</v>
      </c>
      <c r="F14" s="127">
        <f>SUM(F16:F21)</f>
        <v>1281215.43</v>
      </c>
    </row>
    <row r="15" spans="1:6" ht="18" customHeight="1" thickBot="1" x14ac:dyDescent="0.25">
      <c r="B15" s="123"/>
      <c r="C15" s="121"/>
      <c r="D15" s="121"/>
      <c r="E15" s="128"/>
      <c r="F15" s="128"/>
    </row>
    <row r="16" spans="1:6" ht="18" customHeight="1" x14ac:dyDescent="0.25">
      <c r="B16" s="14" t="s">
        <v>31</v>
      </c>
      <c r="C16" s="40">
        <f>1201224+3053</f>
        <v>1204277</v>
      </c>
      <c r="D16" s="40">
        <f>0.39-74021.71</f>
        <v>-74021.320000000007</v>
      </c>
      <c r="E16" s="40">
        <f t="shared" ref="E16:E21" si="0">C16+D16</f>
        <v>1130255.68</v>
      </c>
      <c r="F16" s="40">
        <f>3053.39+1127202.29</f>
        <v>1130255.68</v>
      </c>
    </row>
    <row r="17" spans="2:6" ht="18" customHeight="1" x14ac:dyDescent="0.25">
      <c r="B17" s="7" t="s">
        <v>32</v>
      </c>
      <c r="C17" s="40"/>
      <c r="D17" s="40"/>
      <c r="E17" s="40">
        <f t="shared" si="0"/>
        <v>0</v>
      </c>
      <c r="F17" s="40"/>
    </row>
    <row r="18" spans="2:6" ht="18" customHeight="1" x14ac:dyDescent="0.25">
      <c r="B18" s="7" t="s">
        <v>40</v>
      </c>
      <c r="C18" s="40"/>
      <c r="D18" s="40"/>
      <c r="E18" s="40">
        <f t="shared" si="0"/>
        <v>0</v>
      </c>
      <c r="F18" s="40"/>
    </row>
    <row r="19" spans="2:6" ht="18" customHeight="1" x14ac:dyDescent="0.25">
      <c r="B19" s="7" t="s">
        <v>33</v>
      </c>
      <c r="C19" s="40">
        <f>258+107202</f>
        <v>107460</v>
      </c>
      <c r="D19" s="40">
        <f>-4.12-12948.39</f>
        <v>-12952.51</v>
      </c>
      <c r="E19" s="40">
        <f t="shared" si="0"/>
        <v>94507.49</v>
      </c>
      <c r="F19" s="40">
        <f>253.88+94253.61</f>
        <v>94507.49</v>
      </c>
    </row>
    <row r="20" spans="2:6" ht="18" customHeight="1" x14ac:dyDescent="0.25">
      <c r="B20" s="8" t="s">
        <v>34</v>
      </c>
      <c r="C20" s="40">
        <f>178+58385</f>
        <v>58563</v>
      </c>
      <c r="D20" s="40">
        <f>0.11-2110.85</f>
        <v>-2110.7399999999998</v>
      </c>
      <c r="E20" s="40">
        <f t="shared" si="0"/>
        <v>56452.26</v>
      </c>
      <c r="F20" s="40">
        <f>178.11+56274.15</f>
        <v>56452.26</v>
      </c>
    </row>
    <row r="21" spans="2:6" ht="18" customHeight="1" thickBot="1" x14ac:dyDescent="0.3">
      <c r="B21" s="23" t="s">
        <v>35</v>
      </c>
      <c r="C21" s="51"/>
      <c r="D21" s="40"/>
      <c r="E21" s="40">
        <f t="shared" si="0"/>
        <v>0</v>
      </c>
      <c r="F21" s="51">
        <v>0</v>
      </c>
    </row>
    <row r="22" spans="2:6" ht="18" customHeight="1" x14ac:dyDescent="0.2">
      <c r="B22" s="122" t="s">
        <v>29</v>
      </c>
      <c r="C22" s="127">
        <f>C24+C29+C31+C37+C40+C43</f>
        <v>223372</v>
      </c>
      <c r="D22" s="127">
        <f t="shared" ref="D22:F22" si="1">D24+D29+D31+D37+D40+D43</f>
        <v>181679.72999999998</v>
      </c>
      <c r="E22" s="127">
        <f t="shared" si="1"/>
        <v>405051.73000000004</v>
      </c>
      <c r="F22" s="127">
        <f t="shared" si="1"/>
        <v>405051.73000000004</v>
      </c>
    </row>
    <row r="23" spans="2:6" ht="18" customHeight="1" thickBot="1" x14ac:dyDescent="0.25">
      <c r="B23" s="123"/>
      <c r="C23" s="128"/>
      <c r="D23" s="128"/>
      <c r="E23" s="128"/>
      <c r="F23" s="128"/>
    </row>
    <row r="24" spans="2:6" ht="18" customHeight="1" x14ac:dyDescent="0.25">
      <c r="B24" s="6" t="s">
        <v>11</v>
      </c>
      <c r="C24" s="41">
        <f>SUM(C25:C28)</f>
        <v>216137</v>
      </c>
      <c r="D24" s="41">
        <f>SUM(D25:D28)</f>
        <v>23970.019999999997</v>
      </c>
      <c r="E24" s="41">
        <f>SUM(E25:E28)</f>
        <v>240107.02</v>
      </c>
      <c r="F24" s="41">
        <f>SUM(F25:F28)</f>
        <v>240107.02</v>
      </c>
    </row>
    <row r="25" spans="2:6" ht="18" customHeight="1" x14ac:dyDescent="0.25">
      <c r="B25" s="7" t="s">
        <v>5</v>
      </c>
      <c r="C25" s="42">
        <v>108155</v>
      </c>
      <c r="D25" s="42">
        <v>37490.379999999997</v>
      </c>
      <c r="E25" s="42">
        <f>C25+D25</f>
        <v>145645.38</v>
      </c>
      <c r="F25" s="42">
        <v>145645.38</v>
      </c>
    </row>
    <row r="26" spans="2:6" ht="18" customHeight="1" x14ac:dyDescent="0.25">
      <c r="B26" s="7" t="s">
        <v>6</v>
      </c>
      <c r="C26" s="42">
        <v>77800</v>
      </c>
      <c r="D26" s="42">
        <v>7824.1</v>
      </c>
      <c r="E26" s="42">
        <f>C26+D26</f>
        <v>85624.1</v>
      </c>
      <c r="F26" s="42">
        <v>85624.1</v>
      </c>
    </row>
    <row r="27" spans="2:6" ht="18" customHeight="1" x14ac:dyDescent="0.25">
      <c r="B27" s="7" t="s">
        <v>7</v>
      </c>
      <c r="C27" s="42">
        <v>29982</v>
      </c>
      <c r="D27" s="42">
        <v>-21313.040000000001</v>
      </c>
      <c r="E27" s="42">
        <f>C27+D27</f>
        <v>8668.9599999999991</v>
      </c>
      <c r="F27" s="42">
        <v>8668.9599999999991</v>
      </c>
    </row>
    <row r="28" spans="2:6" ht="18" customHeight="1" x14ac:dyDescent="0.25">
      <c r="B28" s="8" t="s">
        <v>8</v>
      </c>
      <c r="C28" s="42">
        <v>200</v>
      </c>
      <c r="D28" s="42">
        <v>-31.42</v>
      </c>
      <c r="E28" s="42">
        <v>168.58</v>
      </c>
      <c r="F28" s="42">
        <v>168.58</v>
      </c>
    </row>
    <row r="29" spans="2:6" ht="18" customHeight="1" x14ac:dyDescent="0.25">
      <c r="B29" s="9" t="s">
        <v>12</v>
      </c>
      <c r="C29" s="43">
        <f>SUM(C30)</f>
        <v>0</v>
      </c>
      <c r="D29" s="43">
        <f>SUM(D30)</f>
        <v>0</v>
      </c>
      <c r="E29" s="43">
        <f>SUM(E30)</f>
        <v>0</v>
      </c>
      <c r="F29" s="43">
        <f>SUM(F30)</f>
        <v>0</v>
      </c>
    </row>
    <row r="30" spans="2:6" ht="18" customHeight="1" x14ac:dyDescent="0.25">
      <c r="B30" s="10" t="s">
        <v>16</v>
      </c>
      <c r="C30" s="42"/>
      <c r="D30" s="42"/>
      <c r="E30" s="42">
        <f>C30+D30</f>
        <v>0</v>
      </c>
      <c r="F30" s="42"/>
    </row>
    <row r="31" spans="2:6" ht="18" customHeight="1" x14ac:dyDescent="0.25">
      <c r="B31" s="11" t="s">
        <v>21</v>
      </c>
      <c r="C31" s="44">
        <f>SUM(C32:C36)</f>
        <v>0</v>
      </c>
      <c r="D31" s="44">
        <f>SUM(D32:D36)</f>
        <v>149567.85</v>
      </c>
      <c r="E31" s="44">
        <f>SUM(E32:E36)</f>
        <v>149567.85</v>
      </c>
      <c r="F31" s="44">
        <f>SUM(F32:F36)</f>
        <v>149567.85</v>
      </c>
    </row>
    <row r="32" spans="2:6" ht="18" customHeight="1" x14ac:dyDescent="0.25">
      <c r="B32" s="8" t="s">
        <v>20</v>
      </c>
      <c r="C32" s="42"/>
      <c r="D32" s="42"/>
      <c r="E32" s="42">
        <f>C32+D32</f>
        <v>0</v>
      </c>
      <c r="F32" s="42"/>
    </row>
    <row r="33" spans="2:6" ht="18" customHeight="1" x14ac:dyDescent="0.25">
      <c r="B33" s="8" t="s">
        <v>30</v>
      </c>
      <c r="C33" s="42"/>
      <c r="D33" s="42">
        <f>14+25</f>
        <v>39</v>
      </c>
      <c r="E33" s="42">
        <f>C33+D33</f>
        <v>39</v>
      </c>
      <c r="F33" s="42">
        <f>14+25</f>
        <v>39</v>
      </c>
    </row>
    <row r="34" spans="2:6" ht="18" customHeight="1" x14ac:dyDescent="0.25">
      <c r="B34" s="8" t="s">
        <v>19</v>
      </c>
      <c r="C34" s="42"/>
      <c r="D34" s="42"/>
      <c r="E34" s="42">
        <f t="shared" ref="E34:E36" si="2">C34+D34</f>
        <v>0</v>
      </c>
      <c r="F34" s="42"/>
    </row>
    <row r="35" spans="2:6" ht="18" customHeight="1" x14ac:dyDescent="0.25">
      <c r="B35" s="8" t="s">
        <v>17</v>
      </c>
      <c r="C35" s="42">
        <v>0</v>
      </c>
      <c r="D35" s="42">
        <v>149508.85</v>
      </c>
      <c r="E35" s="42">
        <f t="shared" si="2"/>
        <v>149508.85</v>
      </c>
      <c r="F35" s="42">
        <v>149508.85</v>
      </c>
    </row>
    <row r="36" spans="2:6" ht="18" customHeight="1" x14ac:dyDescent="0.25">
      <c r="B36" s="8" t="s">
        <v>18</v>
      </c>
      <c r="C36" s="42"/>
      <c r="D36" s="42">
        <v>20</v>
      </c>
      <c r="E36" s="42">
        <f t="shared" si="2"/>
        <v>20</v>
      </c>
      <c r="F36" s="42">
        <v>20</v>
      </c>
    </row>
    <row r="37" spans="2:6" ht="18" customHeight="1" x14ac:dyDescent="0.25">
      <c r="B37" s="11" t="s">
        <v>26</v>
      </c>
      <c r="C37" s="44">
        <f>SUM(C38:C39)</f>
        <v>0</v>
      </c>
      <c r="D37" s="44">
        <f>SUM(D38:D39)</f>
        <v>921.4</v>
      </c>
      <c r="E37" s="44">
        <f>SUM(E38:E39)</f>
        <v>921.4</v>
      </c>
      <c r="F37" s="44">
        <f>SUM(F38:F39)</f>
        <v>921.4</v>
      </c>
    </row>
    <row r="38" spans="2:6" ht="18" customHeight="1" x14ac:dyDescent="0.25">
      <c r="B38" s="8" t="s">
        <v>27</v>
      </c>
      <c r="C38" s="42"/>
      <c r="D38" s="42">
        <v>750</v>
      </c>
      <c r="E38" s="42">
        <f>C38+D38</f>
        <v>750</v>
      </c>
      <c r="F38" s="42">
        <v>750</v>
      </c>
    </row>
    <row r="39" spans="2:6" ht="18" customHeight="1" x14ac:dyDescent="0.25">
      <c r="B39" s="8" t="s">
        <v>28</v>
      </c>
      <c r="C39" s="42"/>
      <c r="D39" s="42">
        <v>171.4</v>
      </c>
      <c r="E39" s="42">
        <f>C39+D39</f>
        <v>171.4</v>
      </c>
      <c r="F39" s="42">
        <v>171.4</v>
      </c>
    </row>
    <row r="40" spans="2:6" ht="18" customHeight="1" x14ac:dyDescent="0.25">
      <c r="B40" s="11" t="s">
        <v>13</v>
      </c>
      <c r="C40" s="44">
        <f>SUM(C41:C42)</f>
        <v>0</v>
      </c>
      <c r="D40" s="44">
        <f>SUM(D41:D42)</f>
        <v>0</v>
      </c>
      <c r="E40" s="44">
        <f>SUM(E41:E42)</f>
        <v>0</v>
      </c>
      <c r="F40" s="44"/>
    </row>
    <row r="41" spans="2:6" ht="18" customHeight="1" x14ac:dyDescent="0.25">
      <c r="B41" s="8" t="s">
        <v>9</v>
      </c>
      <c r="C41" s="42"/>
      <c r="D41" s="42"/>
      <c r="E41" s="42">
        <f>C41+D41</f>
        <v>0</v>
      </c>
      <c r="F41" s="42"/>
    </row>
    <row r="42" spans="2:6" ht="18" customHeight="1" x14ac:dyDescent="0.25">
      <c r="B42" s="8" t="s">
        <v>10</v>
      </c>
      <c r="C42" s="42"/>
      <c r="D42" s="42"/>
      <c r="E42" s="42">
        <f>C42+D42</f>
        <v>0</v>
      </c>
      <c r="F42" s="42"/>
    </row>
    <row r="43" spans="2:6" ht="18" customHeight="1" thickBot="1" x14ac:dyDescent="0.3">
      <c r="B43" s="15" t="s">
        <v>14</v>
      </c>
      <c r="C43" s="52">
        <f>235+7000</f>
        <v>7235</v>
      </c>
      <c r="D43" s="52">
        <f>+(26.5+484.15+1514.22+3402.2+4.65+1525.8+45+477.26)-(154.4+104.92)</f>
        <v>7220.46</v>
      </c>
      <c r="E43" s="45">
        <f>C43+D43</f>
        <v>14455.46</v>
      </c>
      <c r="F43" s="52">
        <f>26.5+484.15+1514.22+3402.2+4.65+1525.8+45+477.26+80.6+6895.08</f>
        <v>14455.46</v>
      </c>
    </row>
    <row r="44" spans="2:6" ht="30.75" customHeight="1" thickBot="1" x14ac:dyDescent="0.35">
      <c r="B44" s="12" t="s">
        <v>22</v>
      </c>
      <c r="C44" s="46">
        <f>SUM(C45:C47)</f>
        <v>7450</v>
      </c>
      <c r="D44" s="46">
        <f>SUM(D45:D47)</f>
        <v>31182.799999999999</v>
      </c>
      <c r="E44" s="46">
        <f>SUM(E45:E47)</f>
        <v>38632.800000000003</v>
      </c>
      <c r="F44" s="46">
        <f>SUM(F45:F47)</f>
        <v>38632.800000000003</v>
      </c>
    </row>
    <row r="45" spans="2:6" ht="18" customHeight="1" x14ac:dyDescent="0.25">
      <c r="B45" s="16" t="s">
        <v>15</v>
      </c>
      <c r="C45" s="47">
        <v>7450</v>
      </c>
      <c r="D45" s="47">
        <v>31182.799999999999</v>
      </c>
      <c r="E45" s="47">
        <f>C45+D45</f>
        <v>38632.800000000003</v>
      </c>
      <c r="F45" s="47">
        <v>38632.800000000003</v>
      </c>
    </row>
    <row r="46" spans="2:6" ht="18" customHeight="1" x14ac:dyDescent="0.25">
      <c r="B46" s="16" t="s">
        <v>37</v>
      </c>
      <c r="C46" s="48"/>
      <c r="D46" s="48"/>
      <c r="E46" s="48"/>
      <c r="F46" s="48"/>
    </row>
    <row r="47" spans="2:6" ht="18" customHeight="1" thickBot="1" x14ac:dyDescent="0.3">
      <c r="B47" s="17" t="s">
        <v>23</v>
      </c>
      <c r="C47" s="49"/>
      <c r="D47" s="49"/>
      <c r="E47" s="49">
        <f>C47+D47</f>
        <v>0</v>
      </c>
      <c r="F47" s="49"/>
    </row>
    <row r="48" spans="2:6" ht="30.75" customHeight="1" thickBot="1" x14ac:dyDescent="0.35">
      <c r="B48" s="12" t="s">
        <v>24</v>
      </c>
      <c r="C48" s="46">
        <f>SUM(C49)</f>
        <v>0</v>
      </c>
      <c r="D48" s="46">
        <f>SUM(D49)</f>
        <v>0</v>
      </c>
      <c r="E48" s="46">
        <f>SUM(E49)</f>
        <v>0</v>
      </c>
      <c r="F48" s="46">
        <f>SUM(F49)</f>
        <v>0</v>
      </c>
    </row>
    <row r="49" spans="2:6" ht="21.75" customHeight="1" thickBot="1" x14ac:dyDescent="0.3">
      <c r="B49" s="18" t="s">
        <v>25</v>
      </c>
      <c r="C49" s="49"/>
      <c r="D49" s="49"/>
      <c r="E49" s="49">
        <f>C49+D49</f>
        <v>0</v>
      </c>
      <c r="F49" s="49"/>
    </row>
    <row r="50" spans="2:6" ht="30.75" customHeight="1" thickBot="1" x14ac:dyDescent="0.35">
      <c r="B50" s="12" t="s">
        <v>38</v>
      </c>
      <c r="C50" s="46">
        <f>SUM(C51:C54)</f>
        <v>0</v>
      </c>
      <c r="D50" s="46"/>
      <c r="E50" s="46">
        <f>SUM(E51:E54)</f>
        <v>0</v>
      </c>
      <c r="F50" s="46"/>
    </row>
    <row r="51" spans="2:6" ht="21.75" customHeight="1" x14ac:dyDescent="0.25">
      <c r="B51" s="16" t="s">
        <v>42</v>
      </c>
      <c r="C51" s="50"/>
      <c r="D51" s="50"/>
      <c r="E51" s="50"/>
      <c r="F51" s="50"/>
    </row>
    <row r="52" spans="2:6" ht="21.75" customHeight="1" x14ac:dyDescent="0.25">
      <c r="B52" s="25" t="s">
        <v>45</v>
      </c>
      <c r="C52" s="47"/>
      <c r="D52" s="47"/>
      <c r="E52" s="47"/>
      <c r="F52" s="47"/>
    </row>
    <row r="53" spans="2:6" ht="21.75" customHeight="1" x14ac:dyDescent="0.25">
      <c r="B53" s="25" t="s">
        <v>43</v>
      </c>
      <c r="C53" s="48"/>
      <c r="D53" s="48"/>
      <c r="E53" s="48"/>
      <c r="F53" s="48"/>
    </row>
    <row r="54" spans="2:6" ht="21.75" customHeight="1" thickBot="1" x14ac:dyDescent="0.3">
      <c r="B54" s="16" t="s">
        <v>39</v>
      </c>
      <c r="C54" s="49"/>
      <c r="D54" s="49"/>
      <c r="E54" s="49"/>
      <c r="F54" s="49"/>
    </row>
    <row r="55" spans="2:6" ht="36" customHeight="1" thickBot="1" x14ac:dyDescent="0.35">
      <c r="B55" s="13" t="s">
        <v>3</v>
      </c>
      <c r="C55" s="3">
        <f>SUM(C14+C22+C44+C48+C50)</f>
        <v>1601122</v>
      </c>
      <c r="D55" s="3">
        <f>SUM(D14+D22+D44+D48+D50)</f>
        <v>123777.95999999998</v>
      </c>
      <c r="E55" s="3">
        <f>SUM(E14+E22+E44+E48+E50)</f>
        <v>1724899.96</v>
      </c>
      <c r="F55" s="3">
        <f>SUM(F14+F22+F44+F48+F50)</f>
        <v>1724899.96</v>
      </c>
    </row>
    <row r="57" spans="2:6" ht="18" customHeight="1" x14ac:dyDescent="0.2">
      <c r="D57" s="54"/>
      <c r="F57" s="57"/>
    </row>
    <row r="67" spans="1:6" ht="18" customHeight="1" x14ac:dyDescent="0.2">
      <c r="A67" s="2" t="s">
        <v>36</v>
      </c>
      <c r="B67" s="2"/>
    </row>
    <row r="68" spans="1:6" ht="18" customHeight="1" x14ac:dyDescent="0.2">
      <c r="A68" s="2" t="s">
        <v>1</v>
      </c>
      <c r="B68" s="2"/>
    </row>
    <row r="69" spans="1:6" ht="18" customHeight="1" x14ac:dyDescent="0.2">
      <c r="A69" s="2" t="s">
        <v>2</v>
      </c>
      <c r="B69" s="2"/>
    </row>
    <row r="70" spans="1:6" ht="18" customHeight="1" x14ac:dyDescent="0.2">
      <c r="B70" s="2"/>
    </row>
    <row r="71" spans="1:6" ht="18" customHeight="1" x14ac:dyDescent="0.35">
      <c r="A71" s="32" t="s">
        <v>58</v>
      </c>
      <c r="B71" s="32"/>
      <c r="C71" s="32"/>
      <c r="D71" s="32"/>
      <c r="E71" s="39"/>
    </row>
    <row r="72" spans="1:6" ht="18" customHeight="1" x14ac:dyDescent="0.35">
      <c r="A72" s="112" t="s">
        <v>51</v>
      </c>
      <c r="B72" s="112"/>
      <c r="C72" s="112"/>
      <c r="D72" s="112"/>
      <c r="E72" s="112"/>
    </row>
    <row r="73" spans="1:6" ht="18" customHeight="1" x14ac:dyDescent="0.4">
      <c r="B73" s="113"/>
      <c r="C73" s="113"/>
      <c r="D73" s="37"/>
      <c r="E73" s="112" t="s">
        <v>50</v>
      </c>
      <c r="F73" s="112"/>
    </row>
    <row r="74" spans="1:6" ht="18" customHeight="1" x14ac:dyDescent="0.25">
      <c r="B74" s="33" t="s">
        <v>0</v>
      </c>
      <c r="C74" s="31"/>
      <c r="D74" s="31"/>
    </row>
    <row r="75" spans="1:6" ht="18" customHeight="1" x14ac:dyDescent="0.25">
      <c r="A75" s="31"/>
      <c r="B75" s="34" t="s">
        <v>41</v>
      </c>
      <c r="C75" s="31"/>
      <c r="D75" s="31"/>
    </row>
    <row r="76" spans="1:6" ht="18" customHeight="1" thickBot="1" x14ac:dyDescent="0.25">
      <c r="B76" s="1"/>
      <c r="C76" s="1"/>
      <c r="D76" s="1"/>
    </row>
    <row r="77" spans="1:6" ht="18" customHeight="1" x14ac:dyDescent="0.2">
      <c r="B77" s="114" t="s">
        <v>52</v>
      </c>
      <c r="C77" s="124" t="s">
        <v>48</v>
      </c>
      <c r="D77" s="124" t="s">
        <v>46</v>
      </c>
      <c r="E77" s="124" t="s">
        <v>44</v>
      </c>
      <c r="F77" s="124" t="s">
        <v>47</v>
      </c>
    </row>
    <row r="78" spans="1:6" ht="18" customHeight="1" x14ac:dyDescent="0.2">
      <c r="B78" s="115"/>
      <c r="C78" s="125"/>
      <c r="D78" s="125"/>
      <c r="E78" s="125"/>
      <c r="F78" s="125"/>
    </row>
    <row r="79" spans="1:6" ht="18" customHeight="1" thickBot="1" x14ac:dyDescent="0.25">
      <c r="B79" s="116"/>
      <c r="C79" s="126"/>
      <c r="D79" s="126"/>
      <c r="E79" s="126"/>
      <c r="F79" s="126"/>
    </row>
    <row r="80" spans="1:6" ht="18" customHeight="1" x14ac:dyDescent="0.2">
      <c r="B80" s="122" t="s">
        <v>4</v>
      </c>
      <c r="C80" s="127">
        <f>SUM(C82:C87)</f>
        <v>4110900</v>
      </c>
      <c r="D80" s="127">
        <f>SUM(D82:D87)</f>
        <v>-248696.34000000003</v>
      </c>
      <c r="E80" s="127">
        <f>SUM(E82:E87)</f>
        <v>3862203.6599999997</v>
      </c>
      <c r="F80" s="127">
        <f>SUM(F82:F87)</f>
        <v>3862203.6599999997</v>
      </c>
    </row>
    <row r="81" spans="2:6" ht="18" customHeight="1" thickBot="1" x14ac:dyDescent="0.25">
      <c r="B81" s="123"/>
      <c r="C81" s="128"/>
      <c r="D81" s="128"/>
      <c r="E81" s="128"/>
      <c r="F81" s="128"/>
    </row>
    <row r="82" spans="2:6" ht="18" customHeight="1" x14ac:dyDescent="0.25">
      <c r="B82" s="14" t="s">
        <v>31</v>
      </c>
      <c r="C82" s="40">
        <f>9159+3603672</f>
        <v>3612831</v>
      </c>
      <c r="D82" s="40">
        <f>1.17-228713.17</f>
        <v>-228712</v>
      </c>
      <c r="E82" s="40">
        <f t="shared" ref="E82:E87" si="3">C82+D82</f>
        <v>3384119</v>
      </c>
      <c r="F82" s="40">
        <f>9160.17+3374958.83</f>
        <v>3384119</v>
      </c>
    </row>
    <row r="83" spans="2:6" ht="18" customHeight="1" x14ac:dyDescent="0.25">
      <c r="B83" s="7" t="s">
        <v>32</v>
      </c>
      <c r="C83" s="40"/>
      <c r="D83" s="40"/>
      <c r="E83" s="40">
        <f t="shared" si="3"/>
        <v>0</v>
      </c>
      <c r="F83" s="40"/>
    </row>
    <row r="84" spans="2:6" ht="18" customHeight="1" x14ac:dyDescent="0.25">
      <c r="B84" s="7" t="s">
        <v>40</v>
      </c>
      <c r="C84" s="40"/>
      <c r="D84" s="40"/>
      <c r="E84" s="40">
        <f t="shared" si="3"/>
        <v>0</v>
      </c>
      <c r="F84" s="40"/>
    </row>
    <row r="85" spans="2:6" ht="18" customHeight="1" x14ac:dyDescent="0.25">
      <c r="B85" s="7" t="s">
        <v>33</v>
      </c>
      <c r="C85" s="40">
        <f>774+321606</f>
        <v>322380</v>
      </c>
      <c r="D85" s="40">
        <f>-12.36-39911.66</f>
        <v>-39924.020000000004</v>
      </c>
      <c r="E85" s="40">
        <f t="shared" si="3"/>
        <v>282455.98</v>
      </c>
      <c r="F85" s="40">
        <f>761.64+281694.34</f>
        <v>282455.98000000004</v>
      </c>
    </row>
    <row r="86" spans="2:6" ht="18" customHeight="1" x14ac:dyDescent="0.25">
      <c r="B86" s="8" t="s">
        <v>34</v>
      </c>
      <c r="C86" s="40">
        <f>534+175155</f>
        <v>175689</v>
      </c>
      <c r="D86" s="40">
        <f>0.33-6846.22</f>
        <v>-6845.89</v>
      </c>
      <c r="E86" s="40">
        <f t="shared" si="3"/>
        <v>168843.11</v>
      </c>
      <c r="F86" s="40">
        <f>534.33+168308.78</f>
        <v>168843.11</v>
      </c>
    </row>
    <row r="87" spans="2:6" ht="18" customHeight="1" thickBot="1" x14ac:dyDescent="0.3">
      <c r="B87" s="23" t="s">
        <v>35</v>
      </c>
      <c r="C87" s="51"/>
      <c r="D87" s="40">
        <v>26785.57</v>
      </c>
      <c r="E87" s="40">
        <f t="shared" si="3"/>
        <v>26785.57</v>
      </c>
      <c r="F87" s="51">
        <v>26785.57</v>
      </c>
    </row>
    <row r="88" spans="2:6" ht="18" customHeight="1" x14ac:dyDescent="0.2">
      <c r="B88" s="122" t="s">
        <v>29</v>
      </c>
      <c r="C88" s="127">
        <f>C90+C95+C97+C103+C106+C109</f>
        <v>4870660</v>
      </c>
      <c r="D88" s="127">
        <f t="shared" ref="D88:F88" si="4">D90+D95+D97+D103+D106+D109</f>
        <v>-91460.66</v>
      </c>
      <c r="E88" s="127">
        <f t="shared" si="4"/>
        <v>4779199.34</v>
      </c>
      <c r="F88" s="127">
        <f t="shared" si="4"/>
        <v>4779199.34</v>
      </c>
    </row>
    <row r="89" spans="2:6" ht="18" customHeight="1" thickBot="1" x14ac:dyDescent="0.25">
      <c r="B89" s="123"/>
      <c r="C89" s="128"/>
      <c r="D89" s="128"/>
      <c r="E89" s="128"/>
      <c r="F89" s="128"/>
    </row>
    <row r="90" spans="2:6" ht="18" customHeight="1" x14ac:dyDescent="0.25">
      <c r="B90" s="6" t="s">
        <v>11</v>
      </c>
      <c r="C90" s="41">
        <f>SUM(C91:C94)</f>
        <v>646950</v>
      </c>
      <c r="D90" s="41">
        <f>SUM(D91:D94)</f>
        <v>-25755.379999999994</v>
      </c>
      <c r="E90" s="41">
        <f>SUM(E91:E94)</f>
        <v>621194.61999999988</v>
      </c>
      <c r="F90" s="41">
        <f>SUM(F91:F94)</f>
        <v>621194.61999999988</v>
      </c>
    </row>
    <row r="91" spans="2:6" ht="18" customHeight="1" x14ac:dyDescent="0.25">
      <c r="B91" s="7" t="s">
        <v>5</v>
      </c>
      <c r="C91" s="42">
        <v>324465</v>
      </c>
      <c r="D91" s="42">
        <v>40081.980000000003</v>
      </c>
      <c r="E91" s="42">
        <f>C91+D91</f>
        <v>364546.98</v>
      </c>
      <c r="F91" s="42">
        <v>364546.98</v>
      </c>
    </row>
    <row r="92" spans="2:6" ht="18" customHeight="1" x14ac:dyDescent="0.25">
      <c r="B92" s="7" t="s">
        <v>6</v>
      </c>
      <c r="C92" s="42">
        <v>233400</v>
      </c>
      <c r="D92" s="42">
        <v>-11358.52</v>
      </c>
      <c r="E92" s="42">
        <f>C92+D92</f>
        <v>222041.48</v>
      </c>
      <c r="F92" s="42">
        <v>222041.48</v>
      </c>
    </row>
    <row r="93" spans="2:6" ht="18" customHeight="1" x14ac:dyDescent="0.25">
      <c r="B93" s="7" t="s">
        <v>7</v>
      </c>
      <c r="C93" s="42">
        <v>88485</v>
      </c>
      <c r="D93" s="42">
        <v>-54585.919999999998</v>
      </c>
      <c r="E93" s="42">
        <f>C93+D93</f>
        <v>33899.08</v>
      </c>
      <c r="F93" s="42">
        <v>33899.08</v>
      </c>
    </row>
    <row r="94" spans="2:6" ht="18" customHeight="1" x14ac:dyDescent="0.25">
      <c r="B94" s="8" t="s">
        <v>8</v>
      </c>
      <c r="C94" s="42">
        <v>600</v>
      </c>
      <c r="D94" s="42">
        <v>107.08</v>
      </c>
      <c r="E94" s="42">
        <f>C94+D94</f>
        <v>707.08</v>
      </c>
      <c r="F94" s="42">
        <v>707.08</v>
      </c>
    </row>
    <row r="95" spans="2:6" ht="18" customHeight="1" x14ac:dyDescent="0.25">
      <c r="B95" s="9" t="s">
        <v>12</v>
      </c>
      <c r="C95" s="43">
        <f>SUM(C96)</f>
        <v>3918780</v>
      </c>
      <c r="D95" s="43">
        <f>SUM(D96)</f>
        <v>-64736.54</v>
      </c>
      <c r="E95" s="43">
        <f>SUM(E96)</f>
        <v>3854043.46</v>
      </c>
      <c r="F95" s="43">
        <f>SUM(F96)</f>
        <v>3854043.46</v>
      </c>
    </row>
    <row r="96" spans="2:6" ht="18" customHeight="1" x14ac:dyDescent="0.25">
      <c r="B96" s="10" t="s">
        <v>16</v>
      </c>
      <c r="C96" s="42">
        <v>3918780</v>
      </c>
      <c r="D96" s="42">
        <v>-64736.54</v>
      </c>
      <c r="E96" s="42">
        <f>C96+D96</f>
        <v>3854043.46</v>
      </c>
      <c r="F96" s="42">
        <v>3854043.46</v>
      </c>
    </row>
    <row r="97" spans="2:6" ht="18" customHeight="1" x14ac:dyDescent="0.25">
      <c r="B97" s="11" t="s">
        <v>21</v>
      </c>
      <c r="C97" s="44">
        <f>SUM(C98:C102)</f>
        <v>159175</v>
      </c>
      <c r="D97" s="44">
        <f>SUM(D98:D102)</f>
        <v>14384.6</v>
      </c>
      <c r="E97" s="44">
        <f>SUM(E98:E102)</f>
        <v>173559.6</v>
      </c>
      <c r="F97" s="44">
        <f>SUM(F98:F102)</f>
        <v>173559.6</v>
      </c>
    </row>
    <row r="98" spans="2:6" ht="18" customHeight="1" x14ac:dyDescent="0.25">
      <c r="B98" s="8" t="s">
        <v>20</v>
      </c>
      <c r="C98" s="42">
        <v>8175</v>
      </c>
      <c r="D98" s="42">
        <v>12421.46</v>
      </c>
      <c r="E98" s="42">
        <f>C98+D98</f>
        <v>20596.46</v>
      </c>
      <c r="F98" s="42">
        <v>20596.46</v>
      </c>
    </row>
    <row r="99" spans="2:6" ht="18" customHeight="1" x14ac:dyDescent="0.25">
      <c r="B99" s="8" t="s">
        <v>30</v>
      </c>
      <c r="C99" s="42"/>
      <c r="D99" s="42">
        <v>122.79</v>
      </c>
      <c r="E99" s="42">
        <f>C99+D99</f>
        <v>122.79</v>
      </c>
      <c r="F99" s="42">
        <v>122.79</v>
      </c>
    </row>
    <row r="100" spans="2:6" ht="18" customHeight="1" x14ac:dyDescent="0.25">
      <c r="B100" s="8" t="s">
        <v>19</v>
      </c>
      <c r="C100" s="42"/>
      <c r="D100" s="42">
        <f>524.2+2407.5</f>
        <v>2931.7</v>
      </c>
      <c r="E100" s="42">
        <f t="shared" ref="E100:E102" si="5">C100+D100</f>
        <v>2931.7</v>
      </c>
      <c r="F100" s="42">
        <f>524.2+2407.5</f>
        <v>2931.7</v>
      </c>
    </row>
    <row r="101" spans="2:6" ht="18" customHeight="1" x14ac:dyDescent="0.25">
      <c r="B101" s="8" t="s">
        <v>17</v>
      </c>
      <c r="C101" s="42">
        <v>151000</v>
      </c>
      <c r="D101" s="42">
        <v>-1111.3499999999999</v>
      </c>
      <c r="E101" s="42">
        <f t="shared" si="5"/>
        <v>149888.65</v>
      </c>
      <c r="F101" s="42">
        <v>149888.65</v>
      </c>
    </row>
    <row r="102" spans="2:6" ht="18" customHeight="1" x14ac:dyDescent="0.25">
      <c r="B102" s="8" t="s">
        <v>18</v>
      </c>
      <c r="C102" s="42"/>
      <c r="D102" s="42">
        <v>20</v>
      </c>
      <c r="E102" s="42">
        <f t="shared" si="5"/>
        <v>20</v>
      </c>
      <c r="F102" s="42">
        <v>20</v>
      </c>
    </row>
    <row r="103" spans="2:6" ht="18" customHeight="1" x14ac:dyDescent="0.25">
      <c r="B103" s="11" t="s">
        <v>26</v>
      </c>
      <c r="C103" s="44">
        <f>SUM(C104:C105)</f>
        <v>57750</v>
      </c>
      <c r="D103" s="44">
        <f>SUM(D104:D105)</f>
        <v>-10946.18</v>
      </c>
      <c r="E103" s="44">
        <f>SUM(E104:E105)</f>
        <v>46803.82</v>
      </c>
      <c r="F103" s="44">
        <f>SUM(F104:F105)</f>
        <v>46803.82</v>
      </c>
    </row>
    <row r="104" spans="2:6" ht="18" customHeight="1" x14ac:dyDescent="0.25">
      <c r="B104" s="8" t="s">
        <v>27</v>
      </c>
      <c r="C104" s="42">
        <v>47750</v>
      </c>
      <c r="D104" s="42">
        <v>-30339.15</v>
      </c>
      <c r="E104" s="42">
        <f>C104+D104</f>
        <v>17410.849999999999</v>
      </c>
      <c r="F104" s="42">
        <v>17410.849999999999</v>
      </c>
    </row>
    <row r="105" spans="2:6" ht="18" customHeight="1" x14ac:dyDescent="0.25">
      <c r="B105" s="8" t="s">
        <v>28</v>
      </c>
      <c r="C105" s="42">
        <v>10000</v>
      </c>
      <c r="D105" s="42">
        <v>19392.97</v>
      </c>
      <c r="E105" s="42">
        <f>C105+D105</f>
        <v>29392.97</v>
      </c>
      <c r="F105" s="42">
        <v>29392.97</v>
      </c>
    </row>
    <row r="106" spans="2:6" ht="18" customHeight="1" x14ac:dyDescent="0.25">
      <c r="B106" s="11" t="s">
        <v>13</v>
      </c>
      <c r="C106" s="44">
        <f>SUM(C107:C108)</f>
        <v>50580</v>
      </c>
      <c r="D106" s="44">
        <f>SUM(D107:D108)</f>
        <v>-8820</v>
      </c>
      <c r="E106" s="44">
        <f>SUM(E107:E108)</f>
        <v>41760</v>
      </c>
      <c r="F106" s="44">
        <f>SUM(F107:F108)</f>
        <v>41760</v>
      </c>
    </row>
    <row r="107" spans="2:6" ht="18" customHeight="1" x14ac:dyDescent="0.25">
      <c r="B107" s="8" t="s">
        <v>9</v>
      </c>
      <c r="C107" s="42">
        <v>17640</v>
      </c>
      <c r="D107" s="42">
        <v>-8820</v>
      </c>
      <c r="E107" s="42">
        <f>C107+D107</f>
        <v>8820</v>
      </c>
      <c r="F107" s="42">
        <v>8820</v>
      </c>
    </row>
    <row r="108" spans="2:6" ht="18" customHeight="1" x14ac:dyDescent="0.25">
      <c r="B108" s="8" t="s">
        <v>10</v>
      </c>
      <c r="C108" s="42">
        <v>32940</v>
      </c>
      <c r="D108" s="42"/>
      <c r="E108" s="42">
        <f>C108+D108</f>
        <v>32940</v>
      </c>
      <c r="F108" s="42">
        <v>32940</v>
      </c>
    </row>
    <row r="109" spans="2:6" ht="18" customHeight="1" thickBot="1" x14ac:dyDescent="0.3">
      <c r="B109" s="15" t="s">
        <v>14</v>
      </c>
      <c r="C109" s="52">
        <f>130+590+15000+705+21000</f>
        <v>37425</v>
      </c>
      <c r="D109" s="52">
        <f>(47.6+6.8+2107.2+12.09+5049.52+51.25+3402.2+809.73+1626.54+735.13+345)-(130+590+5269.97+411.55+3378.7)</f>
        <v>4412.8399999999983</v>
      </c>
      <c r="E109" s="45">
        <f>C109+D109</f>
        <v>41837.839999999997</v>
      </c>
      <c r="F109" s="52">
        <f>47.6+6.8+2107.2+12.09+5049.52+51.25+3402.2+809.73+1626.54+735.13+345+9730.03+293.45+17621.3</f>
        <v>41837.839999999997</v>
      </c>
    </row>
    <row r="110" spans="2:6" ht="18" customHeight="1" thickBot="1" x14ac:dyDescent="0.35">
      <c r="B110" s="12" t="s">
        <v>22</v>
      </c>
      <c r="C110" s="46">
        <f>SUM(C111:C113)</f>
        <v>78210</v>
      </c>
      <c r="D110" s="46">
        <f>SUM(D111:D113)</f>
        <v>25392.800000000003</v>
      </c>
      <c r="E110" s="46">
        <f>SUM(E111:E113)</f>
        <v>103602.79999999999</v>
      </c>
      <c r="F110" s="46">
        <f>SUM(F111:F113)</f>
        <v>103602.79999999999</v>
      </c>
    </row>
    <row r="111" spans="2:6" ht="18" customHeight="1" x14ac:dyDescent="0.25">
      <c r="B111" s="16" t="s">
        <v>15</v>
      </c>
      <c r="C111" s="47">
        <v>50710</v>
      </c>
      <c r="D111" s="47">
        <v>14986.2</v>
      </c>
      <c r="E111" s="47">
        <f>C111+D111</f>
        <v>65696.2</v>
      </c>
      <c r="F111" s="47">
        <v>65696.2</v>
      </c>
    </row>
    <row r="112" spans="2:6" ht="18" customHeight="1" x14ac:dyDescent="0.25">
      <c r="B112" s="16" t="s">
        <v>37</v>
      </c>
      <c r="C112" s="48"/>
      <c r="D112" s="48"/>
      <c r="E112" s="42">
        <f>C112+D112</f>
        <v>0</v>
      </c>
      <c r="F112" s="48"/>
    </row>
    <row r="113" spans="2:6" ht="18" customHeight="1" thickBot="1" x14ac:dyDescent="0.3">
      <c r="B113" s="17" t="s">
        <v>23</v>
      </c>
      <c r="C113" s="49">
        <v>27500</v>
      </c>
      <c r="D113" s="49">
        <v>10406.6</v>
      </c>
      <c r="E113" s="49">
        <f>C113+D113</f>
        <v>37906.6</v>
      </c>
      <c r="F113" s="49">
        <v>37906.6</v>
      </c>
    </row>
    <row r="114" spans="2:6" ht="18" customHeight="1" thickBot="1" x14ac:dyDescent="0.35">
      <c r="B114" s="12" t="s">
        <v>24</v>
      </c>
      <c r="C114" s="46">
        <f>SUM(C115)</f>
        <v>800</v>
      </c>
      <c r="D114" s="46">
        <f>SUM(D115)</f>
        <v>-441.45</v>
      </c>
      <c r="E114" s="46">
        <f>SUM(E115)</f>
        <v>358.55</v>
      </c>
      <c r="F114" s="46">
        <f>SUM(F115)</f>
        <v>358.55</v>
      </c>
    </row>
    <row r="115" spans="2:6" ht="18" customHeight="1" thickBot="1" x14ac:dyDescent="0.3">
      <c r="B115" s="18" t="s">
        <v>25</v>
      </c>
      <c r="C115" s="49">
        <v>800</v>
      </c>
      <c r="D115" s="49">
        <v>-441.45</v>
      </c>
      <c r="E115" s="49">
        <f>C115+D115</f>
        <v>358.55</v>
      </c>
      <c r="F115" s="49">
        <v>358.55</v>
      </c>
    </row>
    <row r="116" spans="2:6" ht="18" customHeight="1" thickBot="1" x14ac:dyDescent="0.35">
      <c r="B116" s="12" t="s">
        <v>38</v>
      </c>
      <c r="C116" s="46">
        <f>SUM(C117:C120)</f>
        <v>0</v>
      </c>
      <c r="D116" s="46">
        <f>SUM(D117:D120)</f>
        <v>260</v>
      </c>
      <c r="E116" s="46">
        <f>SUM(E117:E120)</f>
        <v>260</v>
      </c>
      <c r="F116" s="46">
        <f>SUM(F117:F120)</f>
        <v>260</v>
      </c>
    </row>
    <row r="117" spans="2:6" ht="18" customHeight="1" x14ac:dyDescent="0.25">
      <c r="B117" s="16" t="s">
        <v>42</v>
      </c>
      <c r="C117" s="50"/>
      <c r="D117" s="50"/>
      <c r="E117" s="42">
        <f t="shared" ref="E117:E120" si="6">C117+D117</f>
        <v>0</v>
      </c>
      <c r="F117" s="50"/>
    </row>
    <row r="118" spans="2:6" ht="18" customHeight="1" x14ac:dyDescent="0.25">
      <c r="B118" s="25" t="s">
        <v>45</v>
      </c>
      <c r="C118" s="47"/>
      <c r="D118" s="47">
        <v>260</v>
      </c>
      <c r="E118" s="42">
        <f t="shared" si="6"/>
        <v>260</v>
      </c>
      <c r="F118" s="47">
        <v>260</v>
      </c>
    </row>
    <row r="119" spans="2:6" ht="18" customHeight="1" x14ac:dyDescent="0.25">
      <c r="B119" s="25" t="s">
        <v>43</v>
      </c>
      <c r="C119" s="48"/>
      <c r="D119" s="48"/>
      <c r="E119" s="42">
        <f t="shared" si="6"/>
        <v>0</v>
      </c>
      <c r="F119" s="48"/>
    </row>
    <row r="120" spans="2:6" ht="18" customHeight="1" thickBot="1" x14ac:dyDescent="0.3">
      <c r="B120" s="16" t="s">
        <v>39</v>
      </c>
      <c r="C120" s="49"/>
      <c r="D120" s="49"/>
      <c r="E120" s="42">
        <f t="shared" si="6"/>
        <v>0</v>
      </c>
      <c r="F120" s="49"/>
    </row>
    <row r="121" spans="2:6" ht="18" customHeight="1" thickBot="1" x14ac:dyDescent="0.35">
      <c r="B121" s="13" t="s">
        <v>3</v>
      </c>
      <c r="C121" s="3">
        <f>SUM(C80+C88+C110+C114+C116)</f>
        <v>9060570</v>
      </c>
      <c r="D121" s="3">
        <f>SUM(D80+D88+D110+D114+D116)</f>
        <v>-314945.65000000002</v>
      </c>
      <c r="E121" s="3">
        <f>SUM(E80+E88+E110+E114+E116)</f>
        <v>8745624.3500000015</v>
      </c>
      <c r="F121" s="3">
        <f>SUM(F80+F88+F110+F114+F116)</f>
        <v>8745624.3500000015</v>
      </c>
    </row>
    <row r="123" spans="2:6" ht="18" customHeight="1" x14ac:dyDescent="0.2">
      <c r="C123" s="53"/>
      <c r="D123" s="53"/>
      <c r="F123" s="55"/>
    </row>
    <row r="124" spans="2:6" ht="18" customHeight="1" x14ac:dyDescent="0.2">
      <c r="D124" s="53"/>
    </row>
    <row r="138" spans="1:6" ht="18" customHeight="1" x14ac:dyDescent="0.2">
      <c r="A138" s="2" t="s">
        <v>36</v>
      </c>
      <c r="B138" s="2"/>
    </row>
    <row r="139" spans="1:6" ht="18" customHeight="1" x14ac:dyDescent="0.2">
      <c r="A139" s="2" t="s">
        <v>1</v>
      </c>
      <c r="B139" s="2"/>
    </row>
    <row r="140" spans="1:6" ht="18" customHeight="1" x14ac:dyDescent="0.2">
      <c r="A140" s="2" t="s">
        <v>2</v>
      </c>
      <c r="B140" s="2"/>
    </row>
    <row r="141" spans="1:6" ht="18" customHeight="1" x14ac:dyDescent="0.2">
      <c r="B141" s="2"/>
    </row>
    <row r="142" spans="1:6" ht="18" customHeight="1" x14ac:dyDescent="0.35">
      <c r="A142" s="32" t="s">
        <v>58</v>
      </c>
      <c r="B142" s="32"/>
      <c r="C142" s="32"/>
      <c r="D142" s="32"/>
      <c r="E142" s="39"/>
    </row>
    <row r="143" spans="1:6" ht="18" customHeight="1" x14ac:dyDescent="0.35">
      <c r="A143" s="112" t="s">
        <v>51</v>
      </c>
      <c r="B143" s="112"/>
      <c r="C143" s="112"/>
      <c r="D143" s="112"/>
      <c r="E143" s="112"/>
    </row>
    <row r="144" spans="1:6" ht="18" customHeight="1" x14ac:dyDescent="0.4">
      <c r="B144" s="113"/>
      <c r="C144" s="113"/>
      <c r="D144" s="37"/>
      <c r="E144" s="112" t="s">
        <v>54</v>
      </c>
      <c r="F144" s="112"/>
    </row>
    <row r="145" spans="1:6" ht="18" customHeight="1" x14ac:dyDescent="0.25">
      <c r="B145" s="33" t="s">
        <v>0</v>
      </c>
      <c r="C145" s="31"/>
      <c r="D145" s="31"/>
    </row>
    <row r="146" spans="1:6" ht="18" customHeight="1" x14ac:dyDescent="0.25">
      <c r="A146" s="31"/>
      <c r="B146" s="34" t="s">
        <v>41</v>
      </c>
      <c r="C146" s="31"/>
      <c r="D146" s="31"/>
    </row>
    <row r="147" spans="1:6" ht="18" customHeight="1" thickBot="1" x14ac:dyDescent="0.25">
      <c r="B147" s="1"/>
      <c r="C147" s="1"/>
      <c r="D147" s="1"/>
    </row>
    <row r="148" spans="1:6" ht="18" customHeight="1" x14ac:dyDescent="0.2">
      <c r="B148" s="114" t="s">
        <v>52</v>
      </c>
      <c r="C148" s="117" t="s">
        <v>48</v>
      </c>
      <c r="D148" s="117" t="s">
        <v>46</v>
      </c>
      <c r="E148" s="124" t="s">
        <v>44</v>
      </c>
      <c r="F148" s="124" t="s">
        <v>47</v>
      </c>
    </row>
    <row r="149" spans="1:6" ht="18" customHeight="1" x14ac:dyDescent="0.2">
      <c r="B149" s="115"/>
      <c r="C149" s="118"/>
      <c r="D149" s="118"/>
      <c r="E149" s="125"/>
      <c r="F149" s="125"/>
    </row>
    <row r="150" spans="1:6" ht="9.75" customHeight="1" thickBot="1" x14ac:dyDescent="0.25">
      <c r="B150" s="116"/>
      <c r="C150" s="119"/>
      <c r="D150" s="119"/>
      <c r="E150" s="126"/>
      <c r="F150" s="126"/>
    </row>
    <row r="151" spans="1:6" ht="18" customHeight="1" x14ac:dyDescent="0.2">
      <c r="B151" s="122" t="s">
        <v>4</v>
      </c>
      <c r="C151" s="127">
        <f>SUM(C153:C158)</f>
        <v>8221806</v>
      </c>
      <c r="D151" s="127">
        <f>SUM(D153:D158)</f>
        <v>-598100.46</v>
      </c>
      <c r="E151" s="127">
        <f>SUM(E153:E158)</f>
        <v>7623705.54</v>
      </c>
      <c r="F151" s="127">
        <f>SUM(F153:F158)</f>
        <v>7623691.5600000005</v>
      </c>
    </row>
    <row r="152" spans="1:6" ht="14.25" customHeight="1" thickBot="1" x14ac:dyDescent="0.25">
      <c r="B152" s="123"/>
      <c r="C152" s="128"/>
      <c r="D152" s="128"/>
      <c r="E152" s="128"/>
      <c r="F152" s="128"/>
    </row>
    <row r="153" spans="1:6" ht="18" customHeight="1" x14ac:dyDescent="0.25">
      <c r="B153" s="14" t="s">
        <v>31</v>
      </c>
      <c r="C153" s="40">
        <f>18320+7207344</f>
        <v>7225664</v>
      </c>
      <c r="D153" s="40">
        <f>0.34-521579.7</f>
        <v>-521579.36</v>
      </c>
      <c r="E153" s="40">
        <f t="shared" ref="E153:E158" si="7">C153+D153</f>
        <v>6704084.6399999997</v>
      </c>
      <c r="F153" s="40">
        <f>18320.34+6685764.29</f>
        <v>6704084.6299999999</v>
      </c>
    </row>
    <row r="154" spans="1:6" ht="18" customHeight="1" x14ac:dyDescent="0.25">
      <c r="B154" s="7" t="s">
        <v>32</v>
      </c>
      <c r="C154" s="40"/>
      <c r="D154" s="40"/>
      <c r="E154" s="40">
        <f t="shared" si="7"/>
        <v>0</v>
      </c>
      <c r="F154" s="40"/>
    </row>
    <row r="155" spans="1:6" ht="18" customHeight="1" x14ac:dyDescent="0.25">
      <c r="B155" s="7" t="s">
        <v>40</v>
      </c>
      <c r="C155" s="40"/>
      <c r="D155" s="40"/>
      <c r="E155" s="40">
        <f t="shared" si="7"/>
        <v>0</v>
      </c>
      <c r="F155" s="40"/>
    </row>
    <row r="156" spans="1:6" ht="18" customHeight="1" x14ac:dyDescent="0.25">
      <c r="B156" s="7" t="s">
        <v>33</v>
      </c>
      <c r="C156" s="40">
        <f>1550+643212</f>
        <v>644762</v>
      </c>
      <c r="D156" s="40">
        <f>-26.72-85838.85</f>
        <v>-85865.57</v>
      </c>
      <c r="E156" s="40">
        <f t="shared" si="7"/>
        <v>558896.42999999993</v>
      </c>
      <c r="F156" s="40">
        <f>1523.28+557359.18</f>
        <v>558882.46000000008</v>
      </c>
    </row>
    <row r="157" spans="1:6" ht="18" customHeight="1" x14ac:dyDescent="0.25">
      <c r="B157" s="8" t="s">
        <v>34</v>
      </c>
      <c r="C157" s="40">
        <f>1070+350310</f>
        <v>351380</v>
      </c>
      <c r="D157" s="40">
        <f>-1.34-17439.76</f>
        <v>-17441.099999999999</v>
      </c>
      <c r="E157" s="40">
        <f t="shared" si="7"/>
        <v>333938.90000000002</v>
      </c>
      <c r="F157" s="40">
        <f>1068.66+332870.24</f>
        <v>333938.89999999997</v>
      </c>
    </row>
    <row r="158" spans="1:6" ht="18" customHeight="1" thickBot="1" x14ac:dyDescent="0.3">
      <c r="B158" s="23" t="s">
        <v>35</v>
      </c>
      <c r="C158" s="51"/>
      <c r="D158" s="40">
        <v>26785.57</v>
      </c>
      <c r="E158" s="40">
        <f t="shared" si="7"/>
        <v>26785.57</v>
      </c>
      <c r="F158" s="51">
        <v>26785.57</v>
      </c>
    </row>
    <row r="159" spans="1:6" ht="18" customHeight="1" x14ac:dyDescent="0.2">
      <c r="B159" s="122" t="s">
        <v>29</v>
      </c>
      <c r="C159" s="127">
        <f>C161+C166+C168+C174+C177+C180</f>
        <v>11669590</v>
      </c>
      <c r="D159" s="127">
        <f t="shared" ref="D159:F159" si="8">D161+D166+D168+D174+D177+D180</f>
        <v>235329.38000000003</v>
      </c>
      <c r="E159" s="127">
        <f t="shared" si="8"/>
        <v>11904919.379999999</v>
      </c>
      <c r="F159" s="127">
        <f t="shared" si="8"/>
        <v>11904918.699999999</v>
      </c>
    </row>
    <row r="160" spans="1:6" ht="18" customHeight="1" thickBot="1" x14ac:dyDescent="0.25">
      <c r="B160" s="123"/>
      <c r="C160" s="128"/>
      <c r="D160" s="128"/>
      <c r="E160" s="128"/>
      <c r="F160" s="128"/>
    </row>
    <row r="161" spans="2:6" ht="18" customHeight="1" x14ac:dyDescent="0.25">
      <c r="B161" s="6" t="s">
        <v>11</v>
      </c>
      <c r="C161" s="41">
        <f>SUM(C162:C165)</f>
        <v>1205415</v>
      </c>
      <c r="D161" s="41">
        <f>SUM(D162:D165)</f>
        <v>42614.929999999993</v>
      </c>
      <c r="E161" s="41">
        <f>SUM(E162:E165)</f>
        <v>1248029.9300000002</v>
      </c>
      <c r="F161" s="41">
        <f>SUM(F162:F165)</f>
        <v>1248029.25</v>
      </c>
    </row>
    <row r="162" spans="2:6" ht="18" customHeight="1" x14ac:dyDescent="0.25">
      <c r="B162" s="7" t="s">
        <v>5</v>
      </c>
      <c r="C162" s="42">
        <v>648930</v>
      </c>
      <c r="D162" s="42">
        <v>51649.95</v>
      </c>
      <c r="E162" s="42">
        <f>C162+D162</f>
        <v>700579.95</v>
      </c>
      <c r="F162" s="42">
        <v>700579.95</v>
      </c>
    </row>
    <row r="163" spans="2:6" ht="18" customHeight="1" x14ac:dyDescent="0.25">
      <c r="B163" s="7" t="s">
        <v>6</v>
      </c>
      <c r="C163" s="42">
        <v>466800</v>
      </c>
      <c r="D163" s="42">
        <v>-43013.39</v>
      </c>
      <c r="E163" s="42">
        <f>C163+D163</f>
        <v>423786.61</v>
      </c>
      <c r="F163" s="42">
        <v>423785.93</v>
      </c>
    </row>
    <row r="164" spans="2:6" ht="18" customHeight="1" x14ac:dyDescent="0.25">
      <c r="B164" s="7" t="s">
        <v>7</v>
      </c>
      <c r="C164" s="42">
        <v>88485</v>
      </c>
      <c r="D164" s="42">
        <v>33990.31</v>
      </c>
      <c r="E164" s="42">
        <f>C164+D164</f>
        <v>122475.31</v>
      </c>
      <c r="F164" s="42">
        <v>122475.31</v>
      </c>
    </row>
    <row r="165" spans="2:6" ht="18" customHeight="1" x14ac:dyDescent="0.25">
      <c r="B165" s="8" t="s">
        <v>8</v>
      </c>
      <c r="C165" s="42">
        <v>1200</v>
      </c>
      <c r="D165" s="42">
        <v>-11.94</v>
      </c>
      <c r="E165" s="42">
        <f>C165+D165</f>
        <v>1188.06</v>
      </c>
      <c r="F165" s="42">
        <v>1188.06</v>
      </c>
    </row>
    <row r="166" spans="2:6" ht="18" customHeight="1" x14ac:dyDescent="0.25">
      <c r="B166" s="9" t="s">
        <v>12</v>
      </c>
      <c r="C166" s="43">
        <f>SUM(C167)</f>
        <v>10029420</v>
      </c>
      <c r="D166" s="43">
        <f>SUM(D167)</f>
        <v>-57898.559999999998</v>
      </c>
      <c r="E166" s="43">
        <f>SUM(E167)</f>
        <v>9971521.4399999995</v>
      </c>
      <c r="F166" s="43">
        <f>SUM(F167)</f>
        <v>9971521.4399999995</v>
      </c>
    </row>
    <row r="167" spans="2:6" ht="18" customHeight="1" x14ac:dyDescent="0.25">
      <c r="B167" s="10" t="s">
        <v>16</v>
      </c>
      <c r="C167" s="42">
        <v>10029420</v>
      </c>
      <c r="D167" s="42">
        <v>-57898.559999999998</v>
      </c>
      <c r="E167" s="42">
        <f>C167+D167</f>
        <v>9971521.4399999995</v>
      </c>
      <c r="F167" s="42">
        <v>9971521.4399999995</v>
      </c>
    </row>
    <row r="168" spans="2:6" ht="18" customHeight="1" x14ac:dyDescent="0.25">
      <c r="B168" s="11" t="s">
        <v>21</v>
      </c>
      <c r="C168" s="44">
        <f>SUM(C169:C173)</f>
        <v>185715</v>
      </c>
      <c r="D168" s="44">
        <f>SUM(D169:D173)</f>
        <v>173307.94000000003</v>
      </c>
      <c r="E168" s="44">
        <f>SUM(E169:E173)</f>
        <v>359022.93999999994</v>
      </c>
      <c r="F168" s="44">
        <f>SUM(F169:F173)</f>
        <v>359022.93999999994</v>
      </c>
    </row>
    <row r="169" spans="2:6" ht="18" customHeight="1" x14ac:dyDescent="0.25">
      <c r="B169" s="8" t="s">
        <v>20</v>
      </c>
      <c r="C169" s="42">
        <v>19710</v>
      </c>
      <c r="D169" s="42">
        <v>14221.14</v>
      </c>
      <c r="E169" s="42">
        <f>C169+D169</f>
        <v>33931.14</v>
      </c>
      <c r="F169" s="42">
        <v>33931.14</v>
      </c>
    </row>
    <row r="170" spans="2:6" ht="18" customHeight="1" x14ac:dyDescent="0.25">
      <c r="B170" s="8" t="s">
        <v>30</v>
      </c>
      <c r="C170" s="42">
        <v>12505</v>
      </c>
      <c r="D170" s="42">
        <v>2710.29</v>
      </c>
      <c r="E170" s="42">
        <f>C170+D170</f>
        <v>15215.29</v>
      </c>
      <c r="F170" s="42">
        <v>15215.29</v>
      </c>
    </row>
    <row r="171" spans="2:6" ht="18" customHeight="1" x14ac:dyDescent="0.25">
      <c r="B171" s="8" t="s">
        <v>19</v>
      </c>
      <c r="C171" s="42"/>
      <c r="D171" s="42">
        <f>4828.95+2175.66</f>
        <v>7004.61</v>
      </c>
      <c r="E171" s="42">
        <f t="shared" ref="E171:E173" si="9">C171+D171</f>
        <v>7004.61</v>
      </c>
      <c r="F171" s="42">
        <f>4828.95+2175.66</f>
        <v>7004.61</v>
      </c>
    </row>
    <row r="172" spans="2:6" ht="18" customHeight="1" x14ac:dyDescent="0.25">
      <c r="B172" s="8" t="s">
        <v>17</v>
      </c>
      <c r="C172" s="42">
        <v>153500</v>
      </c>
      <c r="D172" s="42">
        <v>147171.23000000001</v>
      </c>
      <c r="E172" s="42">
        <f t="shared" si="9"/>
        <v>300671.23</v>
      </c>
      <c r="F172" s="42">
        <v>300671.23</v>
      </c>
    </row>
    <row r="173" spans="2:6" ht="18" customHeight="1" x14ac:dyDescent="0.25">
      <c r="B173" s="8" t="s">
        <v>18</v>
      </c>
      <c r="C173" s="42"/>
      <c r="D173" s="42">
        <v>2200.67</v>
      </c>
      <c r="E173" s="42">
        <f t="shared" si="9"/>
        <v>2200.67</v>
      </c>
      <c r="F173" s="42">
        <v>2200.67</v>
      </c>
    </row>
    <row r="174" spans="2:6" ht="18" customHeight="1" x14ac:dyDescent="0.25">
      <c r="B174" s="11" t="s">
        <v>26</v>
      </c>
      <c r="C174" s="44">
        <f>SUM(C175:C176)</f>
        <v>72750</v>
      </c>
      <c r="D174" s="44">
        <f>SUM(D175:D176)</f>
        <v>42946.36</v>
      </c>
      <c r="E174" s="44">
        <f>SUM(E175:E176)</f>
        <v>115696.36000000002</v>
      </c>
      <c r="F174" s="44">
        <f>SUM(F175:F176)</f>
        <v>115696.36000000002</v>
      </c>
    </row>
    <row r="175" spans="2:6" ht="18" customHeight="1" x14ac:dyDescent="0.25">
      <c r="B175" s="8" t="s">
        <v>27</v>
      </c>
      <c r="C175" s="42">
        <v>47750</v>
      </c>
      <c r="D175" s="42">
        <v>-10768.21</v>
      </c>
      <c r="E175" s="42">
        <f>C175+D175</f>
        <v>36981.79</v>
      </c>
      <c r="F175" s="42">
        <v>36981.79</v>
      </c>
    </row>
    <row r="176" spans="2:6" ht="18" customHeight="1" x14ac:dyDescent="0.25">
      <c r="B176" s="8" t="s">
        <v>28</v>
      </c>
      <c r="C176" s="42">
        <v>25000</v>
      </c>
      <c r="D176" s="42">
        <v>53714.57</v>
      </c>
      <c r="E176" s="42">
        <f>C176+D176</f>
        <v>78714.570000000007</v>
      </c>
      <c r="F176" s="42">
        <v>78714.570000000007</v>
      </c>
    </row>
    <row r="177" spans="2:6" ht="18" customHeight="1" x14ac:dyDescent="0.25">
      <c r="B177" s="11" t="s">
        <v>13</v>
      </c>
      <c r="C177" s="44">
        <f>SUM(C178:C179)</f>
        <v>112350</v>
      </c>
      <c r="D177" s="44">
        <f t="shared" ref="D177:F177" si="10">SUM(D178:D179)</f>
        <v>14100</v>
      </c>
      <c r="E177" s="44">
        <f t="shared" si="10"/>
        <v>126450</v>
      </c>
      <c r="F177" s="44">
        <f t="shared" si="10"/>
        <v>126450</v>
      </c>
    </row>
    <row r="178" spans="2:6" ht="18" customHeight="1" x14ac:dyDescent="0.25">
      <c r="B178" s="8" t="s">
        <v>9</v>
      </c>
      <c r="C178" s="42">
        <v>30000</v>
      </c>
      <c r="D178" s="42">
        <v>14100</v>
      </c>
      <c r="E178" s="42">
        <f>C178+D178</f>
        <v>44100</v>
      </c>
      <c r="F178" s="42">
        <v>44100</v>
      </c>
    </row>
    <row r="179" spans="2:6" ht="18" customHeight="1" x14ac:dyDescent="0.25">
      <c r="B179" s="8" t="s">
        <v>10</v>
      </c>
      <c r="C179" s="42">
        <v>82350</v>
      </c>
      <c r="D179" s="42"/>
      <c r="E179" s="42">
        <f>C179+D179</f>
        <v>82350</v>
      </c>
      <c r="F179" s="42">
        <v>82350</v>
      </c>
    </row>
    <row r="180" spans="2:6" ht="18" customHeight="1" thickBot="1" x14ac:dyDescent="0.3">
      <c r="B180" s="15" t="s">
        <v>14</v>
      </c>
      <c r="C180" s="52">
        <f>3105+260+1185+30000+1390+28000</f>
        <v>63940</v>
      </c>
      <c r="D180" s="52">
        <f>(6497.6+6.8+7102.76+1834.68+12.09+5234.76+3910.16+297.2+848.57+1806.54+1660.84+345+10265.22+270)-(260+1185+17457.66+930.85)</f>
        <v>20258.710000000003</v>
      </c>
      <c r="E180" s="45">
        <f>C180+D180</f>
        <v>84198.71</v>
      </c>
      <c r="F180" s="52">
        <f>6497.6+6.8+7102.76+1834.68+12.09+5234.76+3910.16+3402.2+848.57+1806.54+1660.84+345+12542.34+459.15+38265.22+270</f>
        <v>84198.71</v>
      </c>
    </row>
    <row r="181" spans="2:6" ht="18" customHeight="1" thickBot="1" x14ac:dyDescent="0.35">
      <c r="B181" s="12" t="s">
        <v>22</v>
      </c>
      <c r="C181" s="46">
        <f>SUM(C182:C184)</f>
        <v>114240</v>
      </c>
      <c r="D181" s="46">
        <f>SUM(D182:D184)</f>
        <v>105450.04</v>
      </c>
      <c r="E181" s="46">
        <f>SUM(E182:E184)</f>
        <v>219690.03999999998</v>
      </c>
      <c r="F181" s="46">
        <f>SUM(F182:F184)</f>
        <v>219690.03999999998</v>
      </c>
    </row>
    <row r="182" spans="2:6" ht="18" customHeight="1" x14ac:dyDescent="0.25">
      <c r="B182" s="16" t="s">
        <v>15</v>
      </c>
      <c r="C182" s="47">
        <v>86740</v>
      </c>
      <c r="D182" s="47">
        <v>25610.03</v>
      </c>
      <c r="E182" s="47">
        <f>C182+D182</f>
        <v>112350.03</v>
      </c>
      <c r="F182" s="47">
        <v>112350.03</v>
      </c>
    </row>
    <row r="183" spans="2:6" ht="18" customHeight="1" x14ac:dyDescent="0.25">
      <c r="B183" s="16" t="s">
        <v>37</v>
      </c>
      <c r="C183" s="48"/>
      <c r="D183" s="48"/>
      <c r="E183" s="47">
        <f t="shared" ref="E183:E184" si="11">C183+D183</f>
        <v>0</v>
      </c>
      <c r="F183" s="48"/>
    </row>
    <row r="184" spans="2:6" ht="18" customHeight="1" thickBot="1" x14ac:dyDescent="0.3">
      <c r="B184" s="17" t="s">
        <v>23</v>
      </c>
      <c r="C184" s="49">
        <v>27500</v>
      </c>
      <c r="D184" s="49">
        <v>79840.009999999995</v>
      </c>
      <c r="E184" s="47">
        <f t="shared" si="11"/>
        <v>107340.01</v>
      </c>
      <c r="F184" s="49">
        <v>107340.01</v>
      </c>
    </row>
    <row r="185" spans="2:6" ht="18" customHeight="1" thickBot="1" x14ac:dyDescent="0.35">
      <c r="B185" s="12" t="s">
        <v>24</v>
      </c>
      <c r="C185" s="46">
        <f>SUM(C186)</f>
        <v>1600</v>
      </c>
      <c r="D185" s="46">
        <f>SUM(D186)</f>
        <v>-811.9</v>
      </c>
      <c r="E185" s="46">
        <f>SUM(E186)</f>
        <v>788.1</v>
      </c>
      <c r="F185" s="46">
        <f>SUM(F186)</f>
        <v>788.1</v>
      </c>
    </row>
    <row r="186" spans="2:6" ht="18" customHeight="1" thickBot="1" x14ac:dyDescent="0.3">
      <c r="B186" s="18" t="s">
        <v>25</v>
      </c>
      <c r="C186" s="49">
        <v>1600</v>
      </c>
      <c r="D186" s="49">
        <v>-811.9</v>
      </c>
      <c r="E186" s="49">
        <f>C186+D186</f>
        <v>788.1</v>
      </c>
      <c r="F186" s="49">
        <v>788.1</v>
      </c>
    </row>
    <row r="187" spans="2:6" ht="18" customHeight="1" thickBot="1" x14ac:dyDescent="0.35">
      <c r="B187" s="12" t="s">
        <v>38</v>
      </c>
      <c r="C187" s="46">
        <f>SUM(C188:C191)</f>
        <v>0</v>
      </c>
      <c r="D187" s="46">
        <f>SUM(D188:D191)</f>
        <v>765</v>
      </c>
      <c r="E187" s="46">
        <f>SUM(E188:E191)</f>
        <v>765</v>
      </c>
      <c r="F187" s="46">
        <f>SUM(F188:F191)</f>
        <v>765</v>
      </c>
    </row>
    <row r="188" spans="2:6" ht="18" customHeight="1" x14ac:dyDescent="0.25">
      <c r="B188" s="16" t="s">
        <v>42</v>
      </c>
      <c r="C188" s="50"/>
      <c r="D188" s="50"/>
      <c r="E188" s="47">
        <f t="shared" ref="E188:E191" si="12">C188+D188</f>
        <v>0</v>
      </c>
      <c r="F188" s="50"/>
    </row>
    <row r="189" spans="2:6" ht="18" customHeight="1" x14ac:dyDescent="0.25">
      <c r="B189" s="25" t="s">
        <v>45</v>
      </c>
      <c r="C189" s="47"/>
      <c r="D189" s="47">
        <v>765</v>
      </c>
      <c r="E189" s="47">
        <f t="shared" si="12"/>
        <v>765</v>
      </c>
      <c r="F189" s="47">
        <v>765</v>
      </c>
    </row>
    <row r="190" spans="2:6" ht="18" customHeight="1" x14ac:dyDescent="0.25">
      <c r="B190" s="25" t="s">
        <v>43</v>
      </c>
      <c r="C190" s="48"/>
      <c r="D190" s="48"/>
      <c r="E190" s="47">
        <f t="shared" si="12"/>
        <v>0</v>
      </c>
      <c r="F190" s="48"/>
    </row>
    <row r="191" spans="2:6" ht="18" customHeight="1" thickBot="1" x14ac:dyDescent="0.3">
      <c r="B191" s="16" t="s">
        <v>39</v>
      </c>
      <c r="C191" s="49"/>
      <c r="D191" s="49"/>
      <c r="E191" s="47">
        <f t="shared" si="12"/>
        <v>0</v>
      </c>
      <c r="F191" s="49"/>
    </row>
    <row r="192" spans="2:6" ht="18" customHeight="1" thickBot="1" x14ac:dyDescent="0.35">
      <c r="B192" s="13" t="s">
        <v>3</v>
      </c>
      <c r="C192" s="3">
        <f>SUM(C151+C159+C181+C185+C187)</f>
        <v>20007236</v>
      </c>
      <c r="D192" s="3">
        <f>SUM(D151+D159+D181+D185+D187)</f>
        <v>-257367.93999999997</v>
      </c>
      <c r="E192" s="3">
        <f>SUM(E151+E159+E181+E185+E187)</f>
        <v>19749868.059999999</v>
      </c>
      <c r="F192" s="3">
        <f>SUM(F151+F159+F181+F185+F187)</f>
        <v>19749853.399999999</v>
      </c>
    </row>
    <row r="194" spans="1:6" ht="18" customHeight="1" x14ac:dyDescent="0.2">
      <c r="B194" s="66" t="s">
        <v>63</v>
      </c>
      <c r="C194" s="67"/>
      <c r="E194"/>
    </row>
    <row r="195" spans="1:6" ht="18" customHeight="1" thickBot="1" x14ac:dyDescent="0.25">
      <c r="B195" s="66" t="s">
        <v>66</v>
      </c>
      <c r="C195" s="66"/>
      <c r="E195"/>
    </row>
    <row r="196" spans="1:6" ht="18" customHeight="1" x14ac:dyDescent="0.2">
      <c r="B196" s="114" t="s">
        <v>67</v>
      </c>
      <c r="C196" s="140" t="s">
        <v>68</v>
      </c>
      <c r="D196" s="117" t="s">
        <v>46</v>
      </c>
      <c r="E196" s="124" t="s">
        <v>44</v>
      </c>
      <c r="F196" s="124" t="s">
        <v>47</v>
      </c>
    </row>
    <row r="197" spans="1:6" ht="11.25" customHeight="1" thickBot="1" x14ac:dyDescent="0.25">
      <c r="B197" s="115"/>
      <c r="C197" s="141"/>
      <c r="D197" s="118"/>
      <c r="E197" s="125"/>
      <c r="F197" s="125"/>
    </row>
    <row r="198" spans="1:6" ht="18" hidden="1" customHeight="1" thickBot="1" x14ac:dyDescent="0.25">
      <c r="B198" s="116"/>
      <c r="C198" s="142"/>
      <c r="D198" s="119"/>
      <c r="E198" s="126"/>
      <c r="F198" s="125"/>
    </row>
    <row r="199" spans="1:6" ht="18" customHeight="1" x14ac:dyDescent="0.2">
      <c r="B199" s="122"/>
      <c r="C199" s="137">
        <f>SUM(C201:C206)</f>
        <v>2367245</v>
      </c>
      <c r="D199" s="120">
        <f>SUM(D201:D206)</f>
        <v>0</v>
      </c>
      <c r="E199" s="137">
        <f>SUM(E201:E206)</f>
        <v>2367245</v>
      </c>
      <c r="F199" s="149"/>
    </row>
    <row r="200" spans="1:6" ht="7.5" customHeight="1" thickBot="1" x14ac:dyDescent="0.25">
      <c r="B200" s="123"/>
      <c r="C200" s="138"/>
      <c r="D200" s="151"/>
      <c r="E200" s="152"/>
      <c r="F200" s="150"/>
    </row>
    <row r="201" spans="1:6" ht="18" customHeight="1" x14ac:dyDescent="0.2">
      <c r="B201" s="143" t="s">
        <v>72</v>
      </c>
      <c r="C201" s="145">
        <v>1022070</v>
      </c>
      <c r="D201" s="153">
        <v>0</v>
      </c>
      <c r="E201" s="154">
        <f>+C201+D201</f>
        <v>1022070</v>
      </c>
      <c r="F201" s="149">
        <v>0</v>
      </c>
    </row>
    <row r="202" spans="1:6" ht="21" customHeight="1" x14ac:dyDescent="0.2">
      <c r="B202" s="144"/>
      <c r="C202" s="146"/>
      <c r="D202" s="153"/>
      <c r="E202" s="154"/>
      <c r="F202" s="150"/>
    </row>
    <row r="203" spans="1:6" ht="24" customHeight="1" x14ac:dyDescent="0.2">
      <c r="B203" s="80" t="s">
        <v>74</v>
      </c>
      <c r="C203" s="83">
        <v>346165</v>
      </c>
      <c r="D203" s="78">
        <v>0</v>
      </c>
      <c r="E203" s="75">
        <f t="shared" ref="E203:E206" si="13">+C203+D203</f>
        <v>346165</v>
      </c>
      <c r="F203" s="77">
        <v>0</v>
      </c>
    </row>
    <row r="204" spans="1:6" ht="30" customHeight="1" x14ac:dyDescent="0.2">
      <c r="B204" s="81" t="s">
        <v>75</v>
      </c>
      <c r="C204" s="83">
        <v>423790</v>
      </c>
      <c r="D204" s="78">
        <v>0</v>
      </c>
      <c r="E204" s="75">
        <f t="shared" si="13"/>
        <v>423790</v>
      </c>
      <c r="F204" s="77">
        <v>0</v>
      </c>
    </row>
    <row r="205" spans="1:6" ht="27.75" customHeight="1" x14ac:dyDescent="0.2">
      <c r="B205" s="80" t="s">
        <v>76</v>
      </c>
      <c r="C205" s="83">
        <v>287610</v>
      </c>
      <c r="D205" s="78">
        <v>0</v>
      </c>
      <c r="E205" s="75">
        <f t="shared" si="13"/>
        <v>287610</v>
      </c>
      <c r="F205" s="77">
        <v>0</v>
      </c>
    </row>
    <row r="206" spans="1:6" ht="30" customHeight="1" x14ac:dyDescent="0.2">
      <c r="B206" s="80" t="s">
        <v>77</v>
      </c>
      <c r="C206" s="83">
        <v>287610</v>
      </c>
      <c r="D206" s="78">
        <v>0</v>
      </c>
      <c r="E206" s="75">
        <f t="shared" si="13"/>
        <v>287610</v>
      </c>
      <c r="F206" s="77">
        <v>0</v>
      </c>
    </row>
    <row r="207" spans="1:6" ht="30" customHeight="1" x14ac:dyDescent="0.2">
      <c r="B207" s="87"/>
      <c r="C207" s="88"/>
      <c r="D207" s="89"/>
      <c r="E207" s="90"/>
      <c r="F207" s="91"/>
    </row>
    <row r="208" spans="1:6" ht="18" customHeight="1" x14ac:dyDescent="0.2">
      <c r="A208" s="2" t="s">
        <v>36</v>
      </c>
      <c r="B208" s="2"/>
    </row>
    <row r="209" spans="1:6" ht="18" customHeight="1" x14ac:dyDescent="0.2">
      <c r="A209" s="2" t="s">
        <v>1</v>
      </c>
      <c r="B209" s="2"/>
    </row>
    <row r="210" spans="1:6" ht="18" customHeight="1" x14ac:dyDescent="0.2">
      <c r="A210" s="2" t="s">
        <v>2</v>
      </c>
      <c r="B210" s="2"/>
    </row>
    <row r="211" spans="1:6" ht="18" customHeight="1" x14ac:dyDescent="0.2">
      <c r="B211" s="2"/>
    </row>
    <row r="212" spans="1:6" ht="18" customHeight="1" x14ac:dyDescent="0.35">
      <c r="A212" s="32" t="s">
        <v>58</v>
      </c>
      <c r="B212" s="32"/>
      <c r="C212" s="32"/>
      <c r="D212" s="32"/>
      <c r="E212" s="39"/>
    </row>
    <row r="213" spans="1:6" ht="18" customHeight="1" x14ac:dyDescent="0.35">
      <c r="A213" s="112" t="s">
        <v>51</v>
      </c>
      <c r="B213" s="112"/>
      <c r="C213" s="112"/>
      <c r="D213" s="112"/>
      <c r="E213" s="112"/>
    </row>
    <row r="214" spans="1:6" ht="18" customHeight="1" x14ac:dyDescent="0.4">
      <c r="B214" s="113"/>
      <c r="C214" s="113"/>
      <c r="D214" s="37"/>
      <c r="E214" s="112" t="s">
        <v>55</v>
      </c>
      <c r="F214" s="112"/>
    </row>
    <row r="215" spans="1:6" ht="18" customHeight="1" x14ac:dyDescent="0.25">
      <c r="B215" s="33" t="s">
        <v>0</v>
      </c>
      <c r="C215" s="31"/>
      <c r="D215" s="31"/>
    </row>
    <row r="216" spans="1:6" ht="18" customHeight="1" x14ac:dyDescent="0.25">
      <c r="A216" s="31"/>
      <c r="B216" s="34" t="s">
        <v>41</v>
      </c>
      <c r="C216" s="31"/>
      <c r="D216" s="31"/>
    </row>
    <row r="217" spans="1:6" ht="18" customHeight="1" thickBot="1" x14ac:dyDescent="0.25">
      <c r="B217" s="1"/>
      <c r="C217" s="1"/>
      <c r="D217" s="1"/>
    </row>
    <row r="218" spans="1:6" ht="18" customHeight="1" x14ac:dyDescent="0.2">
      <c r="B218" s="114" t="s">
        <v>52</v>
      </c>
      <c r="C218" s="124" t="s">
        <v>48</v>
      </c>
      <c r="D218" s="124" t="s">
        <v>46</v>
      </c>
      <c r="E218" s="124" t="s">
        <v>44</v>
      </c>
      <c r="F218" s="124" t="s">
        <v>47</v>
      </c>
    </row>
    <row r="219" spans="1:6" ht="18" customHeight="1" x14ac:dyDescent="0.2">
      <c r="B219" s="115"/>
      <c r="C219" s="125"/>
      <c r="D219" s="125"/>
      <c r="E219" s="125"/>
      <c r="F219" s="125"/>
    </row>
    <row r="220" spans="1:6" ht="7.5" customHeight="1" thickBot="1" x14ac:dyDescent="0.25">
      <c r="B220" s="116"/>
      <c r="C220" s="126"/>
      <c r="D220" s="126"/>
      <c r="E220" s="126"/>
      <c r="F220" s="126"/>
    </row>
    <row r="221" spans="1:6" ht="18" customHeight="1" x14ac:dyDescent="0.2">
      <c r="B221" s="122" t="s">
        <v>4</v>
      </c>
      <c r="C221" s="127">
        <f>SUM(C223:C228)</f>
        <v>12332706</v>
      </c>
      <c r="D221" s="127">
        <f>SUM(D223:D228)</f>
        <v>-829005.07</v>
      </c>
      <c r="E221" s="127">
        <f>SUM(E223:E228)</f>
        <v>11503700.930000002</v>
      </c>
      <c r="F221" s="127">
        <f>SUM(F223:F228)</f>
        <v>11503686.950000001</v>
      </c>
    </row>
    <row r="222" spans="1:6" ht="11.25" customHeight="1" thickBot="1" x14ac:dyDescent="0.25">
      <c r="B222" s="123"/>
      <c r="C222" s="128"/>
      <c r="D222" s="128"/>
      <c r="E222" s="128"/>
      <c r="F222" s="128"/>
    </row>
    <row r="223" spans="1:6" ht="18" customHeight="1" x14ac:dyDescent="0.25">
      <c r="B223" s="14" t="s">
        <v>31</v>
      </c>
      <c r="C223" s="40">
        <f>27479+10811016</f>
        <v>10838495</v>
      </c>
      <c r="D223" s="40">
        <f>1.51-720079.33</f>
        <v>-720077.82</v>
      </c>
      <c r="E223" s="40">
        <f t="shared" ref="E223:E228" si="14">C223+D223</f>
        <v>10118417.18</v>
      </c>
      <c r="F223" s="40">
        <f>27480.51+10090936.66</f>
        <v>10118417.17</v>
      </c>
    </row>
    <row r="224" spans="1:6" ht="18" customHeight="1" x14ac:dyDescent="0.25">
      <c r="B224" s="7" t="s">
        <v>32</v>
      </c>
      <c r="C224" s="40"/>
      <c r="D224" s="40"/>
      <c r="E224" s="40">
        <f t="shared" si="14"/>
        <v>0</v>
      </c>
      <c r="F224" s="40"/>
    </row>
    <row r="225" spans="2:6" ht="18" customHeight="1" x14ac:dyDescent="0.25">
      <c r="B225" s="7" t="s">
        <v>40</v>
      </c>
      <c r="C225" s="40"/>
      <c r="D225" s="40"/>
      <c r="E225" s="40">
        <f t="shared" si="14"/>
        <v>0</v>
      </c>
      <c r="F225" s="40"/>
    </row>
    <row r="226" spans="2:6" ht="18" customHeight="1" x14ac:dyDescent="0.25">
      <c r="B226" s="7" t="s">
        <v>33</v>
      </c>
      <c r="C226" s="40">
        <f>2324+964818</f>
        <v>967142</v>
      </c>
      <c r="D226" s="40">
        <f>-39.08-124237.95</f>
        <v>-124277.03</v>
      </c>
      <c r="E226" s="40">
        <f t="shared" si="14"/>
        <v>842864.97</v>
      </c>
      <c r="F226" s="40">
        <f>2284.92+840566.08</f>
        <v>842851</v>
      </c>
    </row>
    <row r="227" spans="2:6" ht="18" customHeight="1" x14ac:dyDescent="0.25">
      <c r="B227" s="8" t="s">
        <v>34</v>
      </c>
      <c r="C227" s="40">
        <f>1604+525465</f>
        <v>527069</v>
      </c>
      <c r="D227" s="40">
        <f>-1.01-22321.35</f>
        <v>-22322.359999999997</v>
      </c>
      <c r="E227" s="40">
        <f t="shared" si="14"/>
        <v>504746.64</v>
      </c>
      <c r="F227" s="40">
        <f>1602.99+503143.65</f>
        <v>504746.64</v>
      </c>
    </row>
    <row r="228" spans="2:6" ht="18" customHeight="1" thickBot="1" x14ac:dyDescent="0.3">
      <c r="B228" s="23" t="s">
        <v>35</v>
      </c>
      <c r="C228" s="51"/>
      <c r="D228" s="40">
        <v>37672.14</v>
      </c>
      <c r="E228" s="40">
        <f t="shared" si="14"/>
        <v>37672.14</v>
      </c>
      <c r="F228" s="51">
        <v>37672.14</v>
      </c>
    </row>
    <row r="229" spans="2:6" ht="18" customHeight="1" x14ac:dyDescent="0.2">
      <c r="B229" s="122" t="s">
        <v>29</v>
      </c>
      <c r="C229" s="127">
        <f>C231+C236+C238+C244+C247+C250</f>
        <v>18375845</v>
      </c>
      <c r="D229" s="127">
        <f t="shared" ref="D229:F229" si="15">D231+D236+D238+D244+D247+D250</f>
        <v>368172.39</v>
      </c>
      <c r="E229" s="127">
        <f t="shared" si="15"/>
        <v>18744017.389999997</v>
      </c>
      <c r="F229" s="127">
        <f t="shared" si="15"/>
        <v>18744016.710000001</v>
      </c>
    </row>
    <row r="230" spans="2:6" ht="14.25" customHeight="1" thickBot="1" x14ac:dyDescent="0.25">
      <c r="B230" s="123"/>
      <c r="C230" s="128"/>
      <c r="D230" s="128"/>
      <c r="E230" s="128"/>
      <c r="F230" s="128"/>
    </row>
    <row r="231" spans="2:6" ht="18" customHeight="1" x14ac:dyDescent="0.25">
      <c r="B231" s="6" t="s">
        <v>11</v>
      </c>
      <c r="C231" s="41">
        <f>SUM(C232:C235)</f>
        <v>1485185</v>
      </c>
      <c r="D231" s="41">
        <f>SUM(D232:D235)</f>
        <v>200008.05999999997</v>
      </c>
      <c r="E231" s="41">
        <f>SUM(E232:E235)</f>
        <v>1685193.06</v>
      </c>
      <c r="F231" s="41">
        <f>SUM(F232:F235)</f>
        <v>1685192.38</v>
      </c>
    </row>
    <row r="232" spans="2:6" ht="18" customHeight="1" x14ac:dyDescent="0.25">
      <c r="B232" s="7" t="s">
        <v>5</v>
      </c>
      <c r="C232" s="42">
        <v>694700</v>
      </c>
      <c r="D232" s="42">
        <v>335872.43</v>
      </c>
      <c r="E232" s="42">
        <f>C232+D232</f>
        <v>1030572.4299999999</v>
      </c>
      <c r="F232" s="42">
        <v>1030572.43</v>
      </c>
    </row>
    <row r="233" spans="2:6" ht="18" customHeight="1" x14ac:dyDescent="0.25">
      <c r="B233" s="7" t="s">
        <v>6</v>
      </c>
      <c r="C233" s="42">
        <v>700200</v>
      </c>
      <c r="D233" s="42">
        <v>-198754.95</v>
      </c>
      <c r="E233" s="42">
        <f>C233+D233</f>
        <v>501445.05</v>
      </c>
      <c r="F233" s="42">
        <v>501444.37</v>
      </c>
    </row>
    <row r="234" spans="2:6" ht="18" customHeight="1" x14ac:dyDescent="0.25">
      <c r="B234" s="7" t="s">
        <v>7</v>
      </c>
      <c r="C234" s="42">
        <v>88485</v>
      </c>
      <c r="D234" s="42">
        <v>62388.12</v>
      </c>
      <c r="E234" s="42">
        <f>C234+D234</f>
        <v>150873.12</v>
      </c>
      <c r="F234" s="42">
        <v>150873.12</v>
      </c>
    </row>
    <row r="235" spans="2:6" ht="18" customHeight="1" x14ac:dyDescent="0.25">
      <c r="B235" s="8" t="s">
        <v>8</v>
      </c>
      <c r="C235" s="42">
        <v>1800</v>
      </c>
      <c r="D235" s="42">
        <v>502.46</v>
      </c>
      <c r="E235" s="42">
        <f>C235+D235</f>
        <v>2302.46</v>
      </c>
      <c r="F235" s="42">
        <v>2302.46</v>
      </c>
    </row>
    <row r="236" spans="2:6" ht="18" customHeight="1" x14ac:dyDescent="0.25">
      <c r="B236" s="9" t="s">
        <v>12</v>
      </c>
      <c r="C236" s="43">
        <f>SUM(C237)</f>
        <v>16140060</v>
      </c>
      <c r="D236" s="43">
        <f>SUM(D237)</f>
        <v>33125.54</v>
      </c>
      <c r="E236" s="43">
        <f>SUM(E237)</f>
        <v>16173185.539999999</v>
      </c>
      <c r="F236" s="43">
        <f>SUM(F237)</f>
        <v>16173185.539999999</v>
      </c>
    </row>
    <row r="237" spans="2:6" ht="18" customHeight="1" x14ac:dyDescent="0.25">
      <c r="B237" s="10" t="s">
        <v>16</v>
      </c>
      <c r="C237" s="42">
        <v>16140060</v>
      </c>
      <c r="D237" s="42">
        <v>33125.54</v>
      </c>
      <c r="E237" s="42">
        <f>C237+D237</f>
        <v>16173185.539999999</v>
      </c>
      <c r="F237" s="42">
        <v>16173185.539999999</v>
      </c>
    </row>
    <row r="238" spans="2:6" ht="18" customHeight="1" x14ac:dyDescent="0.25">
      <c r="B238" s="11" t="s">
        <v>21</v>
      </c>
      <c r="C238" s="44">
        <f>SUM(C239:C243)</f>
        <v>409605</v>
      </c>
      <c r="D238" s="44">
        <f>SUM(D239:D243)</f>
        <v>19789.669999999984</v>
      </c>
      <c r="E238" s="44">
        <f>SUM(E239:E243)</f>
        <v>429394.66999999993</v>
      </c>
      <c r="F238" s="44">
        <f>SUM(F239:F243)</f>
        <v>429394.67</v>
      </c>
    </row>
    <row r="239" spans="2:6" ht="18" customHeight="1" x14ac:dyDescent="0.25">
      <c r="B239" s="8" t="s">
        <v>20</v>
      </c>
      <c r="C239" s="42">
        <v>25195</v>
      </c>
      <c r="D239" s="42">
        <v>13502.47</v>
      </c>
      <c r="E239" s="42">
        <f>C239+D239</f>
        <v>38697.47</v>
      </c>
      <c r="F239" s="42">
        <v>38697.47</v>
      </c>
    </row>
    <row r="240" spans="2:6" ht="18" customHeight="1" x14ac:dyDescent="0.25">
      <c r="B240" s="8" t="s">
        <v>30</v>
      </c>
      <c r="C240" s="42">
        <v>25005</v>
      </c>
      <c r="D240" s="42">
        <v>5016.33</v>
      </c>
      <c r="E240" s="42">
        <f>C240+D240</f>
        <v>30021.33</v>
      </c>
      <c r="F240" s="42">
        <v>30021.33</v>
      </c>
    </row>
    <row r="241" spans="2:6" ht="18" customHeight="1" x14ac:dyDescent="0.25">
      <c r="B241" s="8" t="s">
        <v>19</v>
      </c>
      <c r="C241" s="42">
        <f>15320+104085</f>
        <v>119405</v>
      </c>
      <c r="D241" s="42">
        <f>-68745.07+5181.19</f>
        <v>-63563.880000000005</v>
      </c>
      <c r="E241" s="42">
        <f t="shared" ref="E241:E243" si="16">C241+D241</f>
        <v>55841.119999999995</v>
      </c>
      <c r="F241" s="42">
        <f>35339.93+20501.19</f>
        <v>55841.119999999995</v>
      </c>
    </row>
    <row r="242" spans="2:6" ht="18" customHeight="1" x14ac:dyDescent="0.25">
      <c r="B242" s="8" t="s">
        <v>17</v>
      </c>
      <c r="C242" s="42">
        <v>158500</v>
      </c>
      <c r="D242" s="42">
        <v>144134.07999999999</v>
      </c>
      <c r="E242" s="42">
        <f t="shared" si="16"/>
        <v>302634.07999999996</v>
      </c>
      <c r="F242" s="42">
        <v>302634.08</v>
      </c>
    </row>
    <row r="243" spans="2:6" ht="18" customHeight="1" x14ac:dyDescent="0.25">
      <c r="B243" s="8" t="s">
        <v>18</v>
      </c>
      <c r="C243" s="42">
        <v>81500</v>
      </c>
      <c r="D243" s="42">
        <v>-79299.33</v>
      </c>
      <c r="E243" s="42">
        <f t="shared" si="16"/>
        <v>2200.6699999999983</v>
      </c>
      <c r="F243" s="42">
        <v>2200.67</v>
      </c>
    </row>
    <row r="244" spans="2:6" ht="18" customHeight="1" x14ac:dyDescent="0.25">
      <c r="B244" s="11" t="s">
        <v>26</v>
      </c>
      <c r="C244" s="44">
        <f>SUM(C245:C246)</f>
        <v>92750</v>
      </c>
      <c r="D244" s="44">
        <f>SUM(D245:D246)</f>
        <v>53252.090000000004</v>
      </c>
      <c r="E244" s="44">
        <f>SUM(E245:E246)</f>
        <v>146002.09</v>
      </c>
      <c r="F244" s="44">
        <f>SUM(F245:F246)</f>
        <v>146002.09</v>
      </c>
    </row>
    <row r="245" spans="2:6" ht="18" customHeight="1" x14ac:dyDescent="0.25">
      <c r="B245" s="8" t="s">
        <v>27</v>
      </c>
      <c r="C245" s="42">
        <v>47750</v>
      </c>
      <c r="D245" s="42">
        <v>-226.03</v>
      </c>
      <c r="E245" s="42">
        <f>C245+D245</f>
        <v>47523.97</v>
      </c>
      <c r="F245" s="42">
        <v>47523.97</v>
      </c>
    </row>
    <row r="246" spans="2:6" ht="18" customHeight="1" x14ac:dyDescent="0.25">
      <c r="B246" s="8" t="s">
        <v>28</v>
      </c>
      <c r="C246" s="42">
        <v>45000</v>
      </c>
      <c r="D246" s="42">
        <v>53478.12</v>
      </c>
      <c r="E246" s="42">
        <f>C246+D246</f>
        <v>98478.12</v>
      </c>
      <c r="F246" s="42">
        <v>98478.12</v>
      </c>
    </row>
    <row r="247" spans="2:6" ht="18" customHeight="1" x14ac:dyDescent="0.25">
      <c r="B247" s="11" t="s">
        <v>13</v>
      </c>
      <c r="C247" s="44">
        <f>SUM(C248:C249)</f>
        <v>130000</v>
      </c>
      <c r="D247" s="44">
        <f>SUM(D248:D249)</f>
        <v>45210</v>
      </c>
      <c r="E247" s="44">
        <f>SUM(E248:E249)</f>
        <v>175210</v>
      </c>
      <c r="F247" s="44">
        <f>SUM(F248:F249)</f>
        <v>175210</v>
      </c>
    </row>
    <row r="248" spans="2:6" ht="18" customHeight="1" x14ac:dyDescent="0.25">
      <c r="B248" s="8" t="s">
        <v>9</v>
      </c>
      <c r="C248" s="42">
        <v>30000</v>
      </c>
      <c r="D248" s="42">
        <v>14100</v>
      </c>
      <c r="E248" s="42">
        <f>C248+D248</f>
        <v>44100</v>
      </c>
      <c r="F248" s="42">
        <v>44100</v>
      </c>
    </row>
    <row r="249" spans="2:6" ht="18" customHeight="1" x14ac:dyDescent="0.25">
      <c r="B249" s="8" t="s">
        <v>10</v>
      </c>
      <c r="C249" s="42">
        <v>100000</v>
      </c>
      <c r="D249" s="42">
        <v>31110</v>
      </c>
      <c r="E249" s="42">
        <f>C249+D249</f>
        <v>131110</v>
      </c>
      <c r="F249" s="42">
        <v>131110</v>
      </c>
    </row>
    <row r="250" spans="2:6" ht="18" customHeight="1" thickBot="1" x14ac:dyDescent="0.3">
      <c r="B250" s="15" t="s">
        <v>14</v>
      </c>
      <c r="C250" s="52">
        <f>2710+30125+3105+390+1775+5000+45750+1390+28000</f>
        <v>118245</v>
      </c>
      <c r="D250" s="52">
        <f>(6831.35+6.8+5086.29+52.89+5780.19+4246.98+297.2+1109+4442.49+2798.67+48064.78+1462.5)-(27910.32+190.74+1775+1246+31670.05+600)</f>
        <v>16787.03</v>
      </c>
      <c r="E250" s="42">
        <f>C250+D250</f>
        <v>135032.03</v>
      </c>
      <c r="F250" s="59">
        <f>6831.35+6.8+7796.29+2214.68+52.89+5780.19+4246.98+3402.2+1109+4442.49+2798.67+199.26+3754+14079.95+790+76064.78+1462.5</f>
        <v>135032.03</v>
      </c>
    </row>
    <row r="251" spans="2:6" ht="18" customHeight="1" thickBot="1" x14ac:dyDescent="0.35">
      <c r="B251" s="12" t="s">
        <v>22</v>
      </c>
      <c r="C251" s="46">
        <f>SUM(C252:C254)</f>
        <v>150270</v>
      </c>
      <c r="D251" s="46">
        <f>SUM(D252:D254)</f>
        <v>112413.28</v>
      </c>
      <c r="E251" s="46">
        <f>SUM(E252:E254)</f>
        <v>262683.28000000003</v>
      </c>
      <c r="F251" s="46">
        <f>SUM(F252:F254)</f>
        <v>262683.28000000003</v>
      </c>
    </row>
    <row r="252" spans="2:6" ht="18" customHeight="1" x14ac:dyDescent="0.25">
      <c r="B252" s="16" t="s">
        <v>15</v>
      </c>
      <c r="C252" s="47">
        <v>122770</v>
      </c>
      <c r="D252" s="47">
        <v>24777.66</v>
      </c>
      <c r="E252" s="47">
        <f>C252+D252</f>
        <v>147547.66</v>
      </c>
      <c r="F252" s="47">
        <v>147547.66</v>
      </c>
    </row>
    <row r="253" spans="2:6" ht="18" customHeight="1" x14ac:dyDescent="0.25">
      <c r="B253" s="16" t="s">
        <v>37</v>
      </c>
      <c r="C253" s="48"/>
      <c r="D253" s="48"/>
      <c r="E253" s="47">
        <f>C253+D253</f>
        <v>0</v>
      </c>
      <c r="F253" s="48"/>
    </row>
    <row r="254" spans="2:6" ht="18" customHeight="1" thickBot="1" x14ac:dyDescent="0.3">
      <c r="B254" s="17" t="s">
        <v>23</v>
      </c>
      <c r="C254" s="49">
        <v>27500</v>
      </c>
      <c r="D254" s="49">
        <v>87635.62</v>
      </c>
      <c r="E254" s="49">
        <f>C254+D254</f>
        <v>115135.62</v>
      </c>
      <c r="F254" s="49">
        <v>115135.62</v>
      </c>
    </row>
    <row r="255" spans="2:6" ht="18" customHeight="1" thickBot="1" x14ac:dyDescent="0.35">
      <c r="B255" s="12" t="s">
        <v>24</v>
      </c>
      <c r="C255" s="46">
        <f>SUM(C256)</f>
        <v>2400</v>
      </c>
      <c r="D255" s="46">
        <f>SUM(D256)</f>
        <v>608.08000000000004</v>
      </c>
      <c r="E255" s="46">
        <f>SUM(E256)</f>
        <v>3008.08</v>
      </c>
      <c r="F255" s="46">
        <f>SUM(F256)</f>
        <v>3008.08</v>
      </c>
    </row>
    <row r="256" spans="2:6" ht="18" customHeight="1" thickBot="1" x14ac:dyDescent="0.3">
      <c r="B256" s="18" t="s">
        <v>25</v>
      </c>
      <c r="C256" s="49">
        <v>2400</v>
      </c>
      <c r="D256" s="49">
        <v>608.08000000000004</v>
      </c>
      <c r="E256" s="49">
        <f>C256+D256</f>
        <v>3008.08</v>
      </c>
      <c r="F256" s="49">
        <v>3008.08</v>
      </c>
    </row>
    <row r="257" spans="2:6" ht="18" customHeight="1" thickBot="1" x14ac:dyDescent="0.35">
      <c r="B257" s="12" t="s">
        <v>38</v>
      </c>
      <c r="C257" s="46">
        <f>SUM(C258:C261)</f>
        <v>0</v>
      </c>
      <c r="D257" s="46">
        <f t="shared" ref="D257:F257" si="17">SUM(D258:D261)</f>
        <v>765</v>
      </c>
      <c r="E257" s="46">
        <f t="shared" si="17"/>
        <v>765</v>
      </c>
      <c r="F257" s="46">
        <f t="shared" si="17"/>
        <v>765</v>
      </c>
    </row>
    <row r="258" spans="2:6" ht="18" customHeight="1" x14ac:dyDescent="0.25">
      <c r="B258" s="16" t="s">
        <v>42</v>
      </c>
      <c r="C258" s="50"/>
      <c r="D258" s="50"/>
      <c r="E258" s="47">
        <f t="shared" ref="E258:E261" si="18">C258+D258</f>
        <v>0</v>
      </c>
      <c r="F258" s="50"/>
    </row>
    <row r="259" spans="2:6" ht="18" customHeight="1" x14ac:dyDescent="0.25">
      <c r="B259" s="25" t="s">
        <v>45</v>
      </c>
      <c r="C259" s="47"/>
      <c r="D259" s="47">
        <v>765</v>
      </c>
      <c r="E259" s="47">
        <f t="shared" si="18"/>
        <v>765</v>
      </c>
      <c r="F259" s="47">
        <v>765</v>
      </c>
    </row>
    <row r="260" spans="2:6" ht="18" customHeight="1" x14ac:dyDescent="0.25">
      <c r="B260" s="25" t="s">
        <v>43</v>
      </c>
      <c r="C260" s="48"/>
      <c r="D260" s="48"/>
      <c r="E260" s="47">
        <f t="shared" si="18"/>
        <v>0</v>
      </c>
      <c r="F260" s="48"/>
    </row>
    <row r="261" spans="2:6" ht="18" customHeight="1" thickBot="1" x14ac:dyDescent="0.3">
      <c r="B261" s="16" t="s">
        <v>39</v>
      </c>
      <c r="C261" s="49"/>
      <c r="D261" s="49"/>
      <c r="E261" s="47">
        <f t="shared" si="18"/>
        <v>0</v>
      </c>
      <c r="F261" s="49"/>
    </row>
    <row r="262" spans="2:6" ht="18" customHeight="1" thickBot="1" x14ac:dyDescent="0.35">
      <c r="B262" s="13" t="s">
        <v>3</v>
      </c>
      <c r="C262" s="3">
        <f>SUM(C221+C229+C251+C255+C257)</f>
        <v>30861221</v>
      </c>
      <c r="D262" s="3">
        <f>SUM(D221+D229+D251+D255+D257)</f>
        <v>-347046.31999999989</v>
      </c>
      <c r="E262" s="3">
        <f>SUM(E221+E229+E251+E255+E257)</f>
        <v>30514174.68</v>
      </c>
      <c r="F262" s="3">
        <f>SUM(F221+F229+F251+F255+F257)</f>
        <v>30514160.020000003</v>
      </c>
    </row>
    <row r="264" spans="2:6" ht="18" customHeight="1" x14ac:dyDescent="0.2">
      <c r="B264" s="66" t="s">
        <v>63</v>
      </c>
      <c r="C264" s="67"/>
      <c r="E264"/>
    </row>
    <row r="265" spans="2:6" ht="18" customHeight="1" thickBot="1" x14ac:dyDescent="0.25">
      <c r="B265" s="66" t="s">
        <v>66</v>
      </c>
      <c r="C265" s="66"/>
      <c r="E265"/>
    </row>
    <row r="266" spans="2:6" ht="18" customHeight="1" x14ac:dyDescent="0.2">
      <c r="B266" s="114" t="s">
        <v>67</v>
      </c>
      <c r="C266" s="140" t="s">
        <v>68</v>
      </c>
      <c r="D266" s="117" t="s">
        <v>46</v>
      </c>
      <c r="E266" s="124" t="s">
        <v>44</v>
      </c>
      <c r="F266" s="124" t="s">
        <v>47</v>
      </c>
    </row>
    <row r="267" spans="2:6" ht="12.75" customHeight="1" x14ac:dyDescent="0.2">
      <c r="B267" s="115"/>
      <c r="C267" s="141"/>
      <c r="D267" s="118"/>
      <c r="E267" s="125"/>
      <c r="F267" s="125"/>
    </row>
    <row r="268" spans="2:6" ht="3" customHeight="1" thickBot="1" x14ac:dyDescent="0.25">
      <c r="B268" s="116"/>
      <c r="C268" s="142"/>
      <c r="D268" s="119"/>
      <c r="E268" s="126"/>
      <c r="F268" s="125"/>
    </row>
    <row r="269" spans="2:6" ht="18" customHeight="1" x14ac:dyDescent="0.2">
      <c r="B269" s="122"/>
      <c r="C269" s="137">
        <f>SUM(C271:C278)</f>
        <v>3162060</v>
      </c>
      <c r="D269" s="120">
        <f>SUM(D271:D278)</f>
        <v>10088167.790000001</v>
      </c>
      <c r="E269" s="137">
        <f>SUM(E271:E278)</f>
        <v>13250227.790000001</v>
      </c>
      <c r="F269" s="137">
        <f>SUM(F271:F278)</f>
        <v>0</v>
      </c>
    </row>
    <row r="270" spans="2:6" ht="4.5" customHeight="1" thickBot="1" x14ac:dyDescent="0.25">
      <c r="B270" s="123"/>
      <c r="C270" s="138"/>
      <c r="D270" s="151"/>
      <c r="E270" s="152"/>
      <c r="F270" s="152"/>
    </row>
    <row r="271" spans="2:6" ht="18" customHeight="1" x14ac:dyDescent="0.2">
      <c r="B271" s="143" t="s">
        <v>72</v>
      </c>
      <c r="C271" s="145">
        <v>1022070</v>
      </c>
      <c r="D271" s="147">
        <v>3340541.24</v>
      </c>
      <c r="E271" s="148">
        <f>+C271+D271</f>
        <v>4362611.24</v>
      </c>
      <c r="F271" s="149">
        <v>0</v>
      </c>
    </row>
    <row r="272" spans="2:6" ht="18" customHeight="1" x14ac:dyDescent="0.2">
      <c r="B272" s="144"/>
      <c r="C272" s="146"/>
      <c r="D272" s="147"/>
      <c r="E272" s="148"/>
      <c r="F272" s="150"/>
    </row>
    <row r="273" spans="1:6" ht="18" customHeight="1" x14ac:dyDescent="0.2">
      <c r="B273" s="84" t="s">
        <v>79</v>
      </c>
      <c r="C273" s="85">
        <v>794815</v>
      </c>
      <c r="D273" s="78">
        <f>1740000+(-12475)</f>
        <v>1727525</v>
      </c>
      <c r="E273" s="74">
        <f>+C273+D273</f>
        <v>2522340</v>
      </c>
      <c r="F273" s="86"/>
    </row>
    <row r="274" spans="1:6" ht="18" customHeight="1" x14ac:dyDescent="0.2">
      <c r="B274" s="80" t="s">
        <v>74</v>
      </c>
      <c r="C274" s="83">
        <v>346165</v>
      </c>
      <c r="D274" s="78">
        <v>2281199.21</v>
      </c>
      <c r="E274" s="75">
        <f t="shared" ref="E274:E278" si="19">+C274+D274</f>
        <v>2627364.21</v>
      </c>
      <c r="F274" s="77">
        <v>0</v>
      </c>
    </row>
    <row r="275" spans="1:6" ht="26.25" customHeight="1" x14ac:dyDescent="0.2">
      <c r="B275" s="81" t="s">
        <v>75</v>
      </c>
      <c r="C275" s="83">
        <v>423790</v>
      </c>
      <c r="D275" s="78">
        <v>1645535.96</v>
      </c>
      <c r="E275" s="75">
        <f t="shared" si="19"/>
        <v>2069325.96</v>
      </c>
      <c r="F275" s="77">
        <v>0</v>
      </c>
    </row>
    <row r="276" spans="1:6" ht="26.25" customHeight="1" x14ac:dyDescent="0.2">
      <c r="B276" s="80" t="s">
        <v>76</v>
      </c>
      <c r="C276" s="83">
        <v>287610</v>
      </c>
      <c r="D276" s="78">
        <v>1028459.98</v>
      </c>
      <c r="E276" s="75">
        <f t="shared" si="19"/>
        <v>1316069.98</v>
      </c>
      <c r="F276" s="77">
        <v>0</v>
      </c>
    </row>
    <row r="277" spans="1:6" ht="24.75" customHeight="1" x14ac:dyDescent="0.2">
      <c r="B277" s="80" t="s">
        <v>77</v>
      </c>
      <c r="C277" s="83">
        <v>287610</v>
      </c>
      <c r="D277" s="78">
        <v>0</v>
      </c>
      <c r="E277" s="75">
        <f t="shared" si="19"/>
        <v>287610</v>
      </c>
      <c r="F277" s="77">
        <v>0</v>
      </c>
    </row>
    <row r="278" spans="1:6" ht="18" customHeight="1" x14ac:dyDescent="0.2">
      <c r="B278" s="93" t="s">
        <v>78</v>
      </c>
      <c r="C278" s="94"/>
      <c r="D278" s="83">
        <f>5005+2465+38496.4+18940</f>
        <v>64906.400000000001</v>
      </c>
      <c r="E278" s="75">
        <f t="shared" si="19"/>
        <v>64906.400000000001</v>
      </c>
      <c r="F278" s="77">
        <v>0</v>
      </c>
    </row>
    <row r="279" spans="1:6" ht="18" customHeight="1" x14ac:dyDescent="0.25">
      <c r="A279" s="58"/>
      <c r="B279" s="95" t="s">
        <v>80</v>
      </c>
      <c r="C279" s="58"/>
    </row>
    <row r="280" spans="1:6" ht="18" customHeight="1" x14ac:dyDescent="0.2">
      <c r="A280" s="58"/>
      <c r="B280" s="58"/>
      <c r="C280" s="58"/>
    </row>
    <row r="281" spans="1:6" ht="18" customHeight="1" x14ac:dyDescent="0.2">
      <c r="A281" s="58"/>
      <c r="B281" s="92"/>
      <c r="C281" s="58"/>
    </row>
    <row r="282" spans="1:6" ht="18" customHeight="1" x14ac:dyDescent="0.2">
      <c r="A282" s="58"/>
      <c r="B282" s="58"/>
      <c r="C282" s="58"/>
    </row>
  </sheetData>
  <mergeCells count="102">
    <mergeCell ref="A6:E6"/>
    <mergeCell ref="B7:C7"/>
    <mergeCell ref="E7:F7"/>
    <mergeCell ref="B11:B13"/>
    <mergeCell ref="C11:C13"/>
    <mergeCell ref="D11:D13"/>
    <mergeCell ref="E11:E13"/>
    <mergeCell ref="F11:F13"/>
    <mergeCell ref="A72:E72"/>
    <mergeCell ref="B73:C73"/>
    <mergeCell ref="E73:F73"/>
    <mergeCell ref="B77:B79"/>
    <mergeCell ref="C77:C79"/>
    <mergeCell ref="D77:D79"/>
    <mergeCell ref="E77:E79"/>
    <mergeCell ref="F77:F79"/>
    <mergeCell ref="B14:B15"/>
    <mergeCell ref="C14:C15"/>
    <mergeCell ref="D14:D15"/>
    <mergeCell ref="E14:E15"/>
    <mergeCell ref="F14:F15"/>
    <mergeCell ref="B22:B23"/>
    <mergeCell ref="C22:C23"/>
    <mergeCell ref="D22:D23"/>
    <mergeCell ref="E22:E23"/>
    <mergeCell ref="F22:F23"/>
    <mergeCell ref="A143:E143"/>
    <mergeCell ref="B144:C144"/>
    <mergeCell ref="E144:F144"/>
    <mergeCell ref="B148:B150"/>
    <mergeCell ref="C148:C150"/>
    <mergeCell ref="D148:D150"/>
    <mergeCell ref="E148:E150"/>
    <mergeCell ref="F148:F150"/>
    <mergeCell ref="B80:B81"/>
    <mergeCell ref="C80:C81"/>
    <mergeCell ref="D80:D81"/>
    <mergeCell ref="E80:E81"/>
    <mergeCell ref="F80:F81"/>
    <mergeCell ref="B88:B89"/>
    <mergeCell ref="C88:C89"/>
    <mergeCell ref="D88:D89"/>
    <mergeCell ref="E88:E89"/>
    <mergeCell ref="F88:F89"/>
    <mergeCell ref="B151:B152"/>
    <mergeCell ref="C151:C152"/>
    <mergeCell ref="D151:D152"/>
    <mergeCell ref="E151:E152"/>
    <mergeCell ref="F151:F152"/>
    <mergeCell ref="B159:B160"/>
    <mergeCell ref="C159:C160"/>
    <mergeCell ref="D159:D160"/>
    <mergeCell ref="E159:E160"/>
    <mergeCell ref="F159:F160"/>
    <mergeCell ref="F221:F222"/>
    <mergeCell ref="B229:B230"/>
    <mergeCell ref="C229:C230"/>
    <mergeCell ref="D229:D230"/>
    <mergeCell ref="E229:E230"/>
    <mergeCell ref="F229:F230"/>
    <mergeCell ref="A213:E213"/>
    <mergeCell ref="B214:C214"/>
    <mergeCell ref="E214:F214"/>
    <mergeCell ref="B218:B220"/>
    <mergeCell ref="C218:C220"/>
    <mergeCell ref="D218:D220"/>
    <mergeCell ref="E218:E220"/>
    <mergeCell ref="F218:F220"/>
    <mergeCell ref="B266:B268"/>
    <mergeCell ref="C266:C268"/>
    <mergeCell ref="D266:D268"/>
    <mergeCell ref="E266:E268"/>
    <mergeCell ref="F266:F268"/>
    <mergeCell ref="F196:F198"/>
    <mergeCell ref="F199:F200"/>
    <mergeCell ref="F201:F202"/>
    <mergeCell ref="B201:B202"/>
    <mergeCell ref="C201:C202"/>
    <mergeCell ref="D201:D202"/>
    <mergeCell ref="E201:E202"/>
    <mergeCell ref="B196:B198"/>
    <mergeCell ref="C196:C198"/>
    <mergeCell ref="D196:D198"/>
    <mergeCell ref="E196:E198"/>
    <mergeCell ref="B199:B200"/>
    <mergeCell ref="C199:C200"/>
    <mergeCell ref="D199:D200"/>
    <mergeCell ref="E199:E200"/>
    <mergeCell ref="B221:B222"/>
    <mergeCell ref="C221:C222"/>
    <mergeCell ref="D221:D222"/>
    <mergeCell ref="E221:E222"/>
    <mergeCell ref="B271:B272"/>
    <mergeCell ref="C271:C272"/>
    <mergeCell ref="D271:D272"/>
    <mergeCell ref="E271:E272"/>
    <mergeCell ref="F271:F272"/>
    <mergeCell ref="B269:B270"/>
    <mergeCell ref="C269:C270"/>
    <mergeCell ref="D269:D270"/>
    <mergeCell ref="E269:E270"/>
    <mergeCell ref="F269:F270"/>
  </mergeCells>
  <pageMargins left="0.39370078740157483" right="0" top="0" bottom="0" header="0" footer="0"/>
  <pageSetup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C257" zoomScale="110" zoomScaleNormal="110" workbookViewId="0">
      <selection activeCell="H260" sqref="H260"/>
    </sheetView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5" width="23.85546875" style="38" customWidth="1"/>
    <col min="6" max="6" width="23" style="38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59</v>
      </c>
      <c r="B5" s="32"/>
      <c r="C5" s="32"/>
      <c r="D5" s="39"/>
      <c r="E5" s="39"/>
    </row>
    <row r="6" spans="1:6" ht="21.75" customHeight="1" x14ac:dyDescent="0.35">
      <c r="A6" s="112" t="s">
        <v>51</v>
      </c>
      <c r="B6" s="112"/>
      <c r="C6" s="112"/>
      <c r="D6" s="112"/>
      <c r="E6" s="112"/>
    </row>
    <row r="7" spans="1:6" ht="32.25" customHeight="1" x14ac:dyDescent="0.4">
      <c r="B7" s="113"/>
      <c r="C7" s="113"/>
      <c r="D7" s="100"/>
      <c r="E7" s="112" t="s">
        <v>49</v>
      </c>
      <c r="F7" s="112"/>
    </row>
    <row r="8" spans="1:6" ht="18" customHeight="1" x14ac:dyDescent="0.25">
      <c r="B8" s="33" t="s">
        <v>0</v>
      </c>
      <c r="C8" s="31"/>
      <c r="D8" s="101"/>
    </row>
    <row r="9" spans="1:6" ht="18" customHeight="1" x14ac:dyDescent="0.25">
      <c r="A9" s="31"/>
      <c r="B9" s="34" t="s">
        <v>41</v>
      </c>
      <c r="C9" s="31"/>
      <c r="D9" s="101"/>
    </row>
    <row r="10" spans="1:6" ht="12.75" customHeight="1" thickBot="1" x14ac:dyDescent="0.25">
      <c r="B10" s="1"/>
      <c r="C10" s="1"/>
      <c r="D10" s="102"/>
    </row>
    <row r="11" spans="1:6" ht="18" customHeight="1" x14ac:dyDescent="0.2">
      <c r="B11" s="114" t="s">
        <v>52</v>
      </c>
      <c r="C11" s="117" t="s">
        <v>48</v>
      </c>
      <c r="D11" s="124" t="s">
        <v>46</v>
      </c>
      <c r="E11" s="124" t="s">
        <v>44</v>
      </c>
      <c r="F11" s="124" t="s">
        <v>47</v>
      </c>
    </row>
    <row r="12" spans="1:6" ht="18" customHeight="1" x14ac:dyDescent="0.2">
      <c r="B12" s="115"/>
      <c r="C12" s="118"/>
      <c r="D12" s="125"/>
      <c r="E12" s="125"/>
      <c r="F12" s="125"/>
    </row>
    <row r="13" spans="1:6" ht="6" customHeight="1" thickBot="1" x14ac:dyDescent="0.25">
      <c r="B13" s="116"/>
      <c r="C13" s="119"/>
      <c r="D13" s="126"/>
      <c r="E13" s="126"/>
      <c r="F13" s="126"/>
    </row>
    <row r="14" spans="1:6" ht="18" customHeight="1" x14ac:dyDescent="0.2">
      <c r="B14" s="122" t="s">
        <v>4</v>
      </c>
      <c r="C14" s="120">
        <f>SUM(C16:C21)</f>
        <v>1408823</v>
      </c>
      <c r="D14" s="127">
        <f>SUM(D16:D21)</f>
        <v>-161875.4</v>
      </c>
      <c r="E14" s="127">
        <f>SUM(E16:E21)</f>
        <v>1246947.6000000001</v>
      </c>
      <c r="F14" s="127">
        <f>SUM(F16:F21)</f>
        <v>1246947.6000000001</v>
      </c>
    </row>
    <row r="15" spans="1:6" ht="18" customHeight="1" thickBot="1" x14ac:dyDescent="0.25">
      <c r="B15" s="123"/>
      <c r="C15" s="121"/>
      <c r="D15" s="128"/>
      <c r="E15" s="128"/>
      <c r="F15" s="128"/>
    </row>
    <row r="16" spans="1:6" ht="18" customHeight="1" x14ac:dyDescent="0.25">
      <c r="B16" s="14" t="s">
        <v>31</v>
      </c>
      <c r="C16" s="40">
        <v>1195986</v>
      </c>
      <c r="D16" s="40">
        <v>-94997.43</v>
      </c>
      <c r="E16" s="40">
        <f t="shared" ref="E16:E21" si="0">C16+D16</f>
        <v>1100988.57</v>
      </c>
      <c r="F16" s="40">
        <v>1100988.57</v>
      </c>
    </row>
    <row r="17" spans="2:6" ht="18" customHeight="1" x14ac:dyDescent="0.25">
      <c r="B17" s="7" t="s">
        <v>32</v>
      </c>
      <c r="C17" s="40"/>
      <c r="D17" s="40"/>
      <c r="E17" s="40">
        <f t="shared" si="0"/>
        <v>0</v>
      </c>
      <c r="F17" s="40"/>
    </row>
    <row r="18" spans="2:6" ht="18" customHeight="1" x14ac:dyDescent="0.25">
      <c r="B18" s="7" t="s">
        <v>40</v>
      </c>
      <c r="C18" s="40"/>
      <c r="D18" s="40"/>
      <c r="E18" s="40">
        <f t="shared" si="0"/>
        <v>0</v>
      </c>
      <c r="F18" s="40"/>
    </row>
    <row r="19" spans="2:6" ht="18" customHeight="1" x14ac:dyDescent="0.25">
      <c r="B19" s="7" t="s">
        <v>33</v>
      </c>
      <c r="C19" s="40">
        <v>108875</v>
      </c>
      <c r="D19" s="40">
        <v>-17429.91</v>
      </c>
      <c r="E19" s="40">
        <f t="shared" si="0"/>
        <v>91445.09</v>
      </c>
      <c r="F19" s="40">
        <v>91445.09</v>
      </c>
    </row>
    <row r="20" spans="2:6" ht="18" customHeight="1" x14ac:dyDescent="0.25">
      <c r="B20" s="8" t="s">
        <v>34</v>
      </c>
      <c r="C20" s="40">
        <v>56143</v>
      </c>
      <c r="D20" s="40">
        <v>-1629.06</v>
      </c>
      <c r="E20" s="40">
        <f t="shared" si="0"/>
        <v>54513.94</v>
      </c>
      <c r="F20" s="40">
        <v>54513.94</v>
      </c>
    </row>
    <row r="21" spans="2:6" ht="18" customHeight="1" thickBot="1" x14ac:dyDescent="0.3">
      <c r="B21" s="23" t="s">
        <v>60</v>
      </c>
      <c r="C21" s="51">
        <v>47819</v>
      </c>
      <c r="D21" s="40">
        <v>-47819</v>
      </c>
      <c r="E21" s="40">
        <f t="shared" si="0"/>
        <v>0</v>
      </c>
      <c r="F21" s="51">
        <v>0</v>
      </c>
    </row>
    <row r="22" spans="2:6" ht="18" customHeight="1" x14ac:dyDescent="0.2">
      <c r="B22" s="122" t="s">
        <v>29</v>
      </c>
      <c r="C22" s="127">
        <f>C24+C29+C31+C37+C40+C43</f>
        <v>4390370</v>
      </c>
      <c r="D22" s="127">
        <f t="shared" ref="D22:F22" si="1">D24+D29+D31+D37+D40+D43</f>
        <v>-14721.879999999997</v>
      </c>
      <c r="E22" s="127">
        <f t="shared" si="1"/>
        <v>4375648.12</v>
      </c>
      <c r="F22" s="127">
        <f t="shared" si="1"/>
        <v>4375648.12</v>
      </c>
    </row>
    <row r="23" spans="2:6" ht="18" customHeight="1" thickBot="1" x14ac:dyDescent="0.25">
      <c r="B23" s="123"/>
      <c r="C23" s="128"/>
      <c r="D23" s="128"/>
      <c r="E23" s="128"/>
      <c r="F23" s="128"/>
    </row>
    <row r="24" spans="2:6" ht="18" customHeight="1" x14ac:dyDescent="0.25">
      <c r="B24" s="6" t="s">
        <v>11</v>
      </c>
      <c r="C24" s="41">
        <f>SUM(C25:C28)</f>
        <v>219240</v>
      </c>
      <c r="D24" s="41">
        <f>SUM(D25:D28)</f>
        <v>19819.28</v>
      </c>
      <c r="E24" s="41">
        <f>SUM(E25:E28)</f>
        <v>239059.28</v>
      </c>
      <c r="F24" s="41">
        <f>SUM(F25:F28)</f>
        <v>239059.28</v>
      </c>
    </row>
    <row r="25" spans="2:6" ht="18" customHeight="1" x14ac:dyDescent="0.25">
      <c r="B25" s="7" t="s">
        <v>5</v>
      </c>
      <c r="C25" s="42">
        <v>109450</v>
      </c>
      <c r="D25" s="42">
        <v>31811.19</v>
      </c>
      <c r="E25" s="42">
        <f>C25+D25</f>
        <v>141261.19</v>
      </c>
      <c r="F25" s="42">
        <v>141261.19</v>
      </c>
    </row>
    <row r="26" spans="2:6" ht="18" customHeight="1" x14ac:dyDescent="0.25">
      <c r="B26" s="7" t="s">
        <v>6</v>
      </c>
      <c r="C26" s="42">
        <v>78300</v>
      </c>
      <c r="D26" s="42">
        <v>3560.84</v>
      </c>
      <c r="E26" s="42">
        <f>C26+D26</f>
        <v>81860.84</v>
      </c>
      <c r="F26" s="42">
        <v>81860.84</v>
      </c>
    </row>
    <row r="27" spans="2:6" ht="18" customHeight="1" x14ac:dyDescent="0.25">
      <c r="B27" s="7" t="s">
        <v>7</v>
      </c>
      <c r="C27" s="42">
        <v>31190</v>
      </c>
      <c r="D27" s="42">
        <v>-15456.17</v>
      </c>
      <c r="E27" s="42">
        <f>C27+D27</f>
        <v>15733.83</v>
      </c>
      <c r="F27" s="42">
        <v>15733.83</v>
      </c>
    </row>
    <row r="28" spans="2:6" ht="18" customHeight="1" x14ac:dyDescent="0.25">
      <c r="B28" s="8" t="s">
        <v>8</v>
      </c>
      <c r="C28" s="42">
        <v>300</v>
      </c>
      <c r="D28" s="42">
        <v>-96.58</v>
      </c>
      <c r="E28" s="42">
        <f t="shared" ref="E28:E29" si="2">C28+D28</f>
        <v>203.42000000000002</v>
      </c>
      <c r="F28" s="42">
        <v>203.42</v>
      </c>
    </row>
    <row r="29" spans="2:6" ht="18" customHeight="1" x14ac:dyDescent="0.25">
      <c r="B29" s="9" t="s">
        <v>12</v>
      </c>
      <c r="C29" s="43">
        <f>SUM(C30)</f>
        <v>4076550</v>
      </c>
      <c r="D29" s="43">
        <f>SUM(D30)</f>
        <v>-0.51</v>
      </c>
      <c r="E29" s="42">
        <f t="shared" si="2"/>
        <v>4076549.49</v>
      </c>
      <c r="F29" s="43">
        <f>SUM(F30)</f>
        <v>4076549.49</v>
      </c>
    </row>
    <row r="30" spans="2:6" ht="18" customHeight="1" x14ac:dyDescent="0.25">
      <c r="B30" s="10" t="s">
        <v>16</v>
      </c>
      <c r="C30" s="42">
        <v>4076550</v>
      </c>
      <c r="D30" s="42">
        <v>-0.51</v>
      </c>
      <c r="E30" s="42">
        <f>C30+D30</f>
        <v>4076549.49</v>
      </c>
      <c r="F30" s="42">
        <v>4076549.49</v>
      </c>
    </row>
    <row r="31" spans="2:6" ht="18" customHeight="1" x14ac:dyDescent="0.25">
      <c r="B31" s="11" t="s">
        <v>21</v>
      </c>
      <c r="C31" s="44">
        <f>SUM(C32:C36)</f>
        <v>3385</v>
      </c>
      <c r="D31" s="44">
        <f>SUM(D32:D36)</f>
        <v>1585.82</v>
      </c>
      <c r="E31" s="44">
        <f>SUM(E32:E36)</f>
        <v>4970.8200000000006</v>
      </c>
      <c r="F31" s="44">
        <f>SUM(F32:F36)</f>
        <v>4970.8200000000006</v>
      </c>
    </row>
    <row r="32" spans="2:6" ht="18" customHeight="1" x14ac:dyDescent="0.25">
      <c r="B32" s="8" t="s">
        <v>20</v>
      </c>
      <c r="C32" s="42">
        <v>3385</v>
      </c>
      <c r="D32" s="42">
        <v>1092.5999999999999</v>
      </c>
      <c r="E32" s="42">
        <f>C32+D32</f>
        <v>4477.6000000000004</v>
      </c>
      <c r="F32" s="42">
        <v>4477.6000000000004</v>
      </c>
    </row>
    <row r="33" spans="2:6" ht="18" customHeight="1" x14ac:dyDescent="0.25">
      <c r="B33" s="8" t="s">
        <v>30</v>
      </c>
      <c r="C33" s="42"/>
      <c r="D33" s="42"/>
      <c r="E33" s="42">
        <f>C33+D33</f>
        <v>0</v>
      </c>
      <c r="F33" s="42"/>
    </row>
    <row r="34" spans="2:6" ht="18" customHeight="1" x14ac:dyDescent="0.25">
      <c r="B34" s="8" t="s">
        <v>19</v>
      </c>
      <c r="C34" s="42"/>
      <c r="D34" s="42">
        <f>289.5+203.72</f>
        <v>493.22</v>
      </c>
      <c r="E34" s="42">
        <f t="shared" ref="E34:E36" si="3">C34+D34</f>
        <v>493.22</v>
      </c>
      <c r="F34" s="42">
        <f>203.72+289.5</f>
        <v>493.22</v>
      </c>
    </row>
    <row r="35" spans="2:6" ht="18" customHeight="1" x14ac:dyDescent="0.25">
      <c r="B35" s="8" t="s">
        <v>17</v>
      </c>
      <c r="C35" s="42">
        <v>0</v>
      </c>
      <c r="D35" s="42"/>
      <c r="E35" s="42">
        <f t="shared" si="3"/>
        <v>0</v>
      </c>
      <c r="F35" s="42"/>
    </row>
    <row r="36" spans="2:6" ht="18" customHeight="1" x14ac:dyDescent="0.25">
      <c r="B36" s="8" t="s">
        <v>18</v>
      </c>
      <c r="C36" s="42"/>
      <c r="D36" s="42"/>
      <c r="E36" s="42">
        <f t="shared" si="3"/>
        <v>0</v>
      </c>
      <c r="F36" s="42"/>
    </row>
    <row r="37" spans="2:6" ht="18" customHeight="1" x14ac:dyDescent="0.25">
      <c r="B37" s="11" t="s">
        <v>26</v>
      </c>
      <c r="C37" s="44">
        <f>SUM(C38:C39)</f>
        <v>43575</v>
      </c>
      <c r="D37" s="44">
        <f>SUM(D38:D39)</f>
        <v>-17809.439999999999</v>
      </c>
      <c r="E37" s="44">
        <f>SUM(E38:E39)</f>
        <v>25765.559999999998</v>
      </c>
      <c r="F37" s="44">
        <f>SUM(F38:F39)</f>
        <v>25765.559999999998</v>
      </c>
    </row>
    <row r="38" spans="2:6" ht="18" customHeight="1" x14ac:dyDescent="0.25">
      <c r="B38" s="8" t="s">
        <v>27</v>
      </c>
      <c r="C38" s="42">
        <v>17210</v>
      </c>
      <c r="D38" s="42">
        <v>-12331.24</v>
      </c>
      <c r="E38" s="42">
        <f>C38+D38</f>
        <v>4878.76</v>
      </c>
      <c r="F38" s="42">
        <v>4878.76</v>
      </c>
    </row>
    <row r="39" spans="2:6" ht="18" customHeight="1" x14ac:dyDescent="0.25">
      <c r="B39" s="8" t="s">
        <v>28</v>
      </c>
      <c r="C39" s="42">
        <v>26365</v>
      </c>
      <c r="D39" s="42">
        <v>-5478.2</v>
      </c>
      <c r="E39" s="42">
        <f>C39+D39</f>
        <v>20886.8</v>
      </c>
      <c r="F39" s="42">
        <v>20886.8</v>
      </c>
    </row>
    <row r="40" spans="2:6" ht="18" customHeight="1" x14ac:dyDescent="0.25">
      <c r="B40" s="11" t="s">
        <v>13</v>
      </c>
      <c r="C40" s="44">
        <f>SUM(C41:C42)</f>
        <v>25290</v>
      </c>
      <c r="D40" s="44">
        <f>SUM(D41:D42)</f>
        <v>-16470</v>
      </c>
      <c r="E40" s="44">
        <f>SUM(E41:E42)</f>
        <v>8820</v>
      </c>
      <c r="F40" s="44">
        <f>SUM(F41:F42)</f>
        <v>8820</v>
      </c>
    </row>
    <row r="41" spans="2:6" ht="18" customHeight="1" x14ac:dyDescent="0.25">
      <c r="B41" s="8" t="s">
        <v>9</v>
      </c>
      <c r="C41" s="42">
        <v>8820</v>
      </c>
      <c r="D41" s="42"/>
      <c r="E41" s="42">
        <f>C41+D41</f>
        <v>8820</v>
      </c>
      <c r="F41" s="42">
        <v>8820</v>
      </c>
    </row>
    <row r="42" spans="2:6" ht="18" customHeight="1" x14ac:dyDescent="0.25">
      <c r="B42" s="8" t="s">
        <v>10</v>
      </c>
      <c r="C42" s="42">
        <v>16470</v>
      </c>
      <c r="D42" s="42">
        <v>-16470</v>
      </c>
      <c r="E42" s="42">
        <f>C42+D42</f>
        <v>0</v>
      </c>
      <c r="F42" s="42"/>
    </row>
    <row r="43" spans="2:6" ht="18" customHeight="1" thickBot="1" x14ac:dyDescent="0.3">
      <c r="B43" s="15" t="s">
        <v>14</v>
      </c>
      <c r="C43" s="52">
        <f>3545+2580+2090+115+14000</f>
        <v>22330</v>
      </c>
      <c r="D43" s="52">
        <f>+(304.67+27+433.57+121.43+139.61+947.02+112.5+199.26+10613.55+70.36)-(3545+2580+8691)</f>
        <v>-1847.0299999999988</v>
      </c>
      <c r="E43" s="45">
        <f>C43+D43</f>
        <v>20482.97</v>
      </c>
      <c r="F43" s="52">
        <f>304.67+27+433.57+121.43+139.61+947.02+112.5+199.26+12703.55+185.36+5309</f>
        <v>20482.97</v>
      </c>
    </row>
    <row r="44" spans="2:6" ht="30.75" customHeight="1" thickBot="1" x14ac:dyDescent="0.35">
      <c r="B44" s="12" t="s">
        <v>22</v>
      </c>
      <c r="C44" s="46">
        <f>SUM(C45:C47)</f>
        <v>0</v>
      </c>
      <c r="D44" s="46">
        <f>SUM(D45:D47)</f>
        <v>25030.18</v>
      </c>
      <c r="E44" s="46">
        <f>SUM(E45:E47)</f>
        <v>25030.18</v>
      </c>
      <c r="F44" s="46">
        <f>SUM(F45:F47)</f>
        <v>25030.18</v>
      </c>
    </row>
    <row r="45" spans="2:6" ht="18" customHeight="1" x14ac:dyDescent="0.25">
      <c r="B45" s="16" t="s">
        <v>15</v>
      </c>
      <c r="C45" s="47"/>
      <c r="D45" s="47">
        <v>24621.63</v>
      </c>
      <c r="E45" s="47">
        <f>C45+D45</f>
        <v>24621.63</v>
      </c>
      <c r="F45" s="47">
        <v>24621.63</v>
      </c>
    </row>
    <row r="46" spans="2:6" ht="18" customHeight="1" x14ac:dyDescent="0.25">
      <c r="B46" s="16" t="s">
        <v>37</v>
      </c>
      <c r="C46" s="48"/>
      <c r="D46" s="48">
        <v>408.55</v>
      </c>
      <c r="E46" s="47">
        <f t="shared" ref="E46:E47" si="4">C46+D46</f>
        <v>408.55</v>
      </c>
      <c r="F46" s="48">
        <v>408.55</v>
      </c>
    </row>
    <row r="47" spans="2:6" ht="18" customHeight="1" thickBot="1" x14ac:dyDescent="0.3">
      <c r="B47" s="17" t="s">
        <v>23</v>
      </c>
      <c r="C47" s="49"/>
      <c r="D47" s="49"/>
      <c r="E47" s="47">
        <f t="shared" si="4"/>
        <v>0</v>
      </c>
      <c r="F47" s="49"/>
    </row>
    <row r="48" spans="2:6" ht="30.75" customHeight="1" thickBot="1" x14ac:dyDescent="0.35">
      <c r="B48" s="12" t="s">
        <v>24</v>
      </c>
      <c r="C48" s="46">
        <f>SUM(C49)</f>
        <v>0</v>
      </c>
      <c r="D48" s="46">
        <f>SUM(D49)</f>
        <v>0</v>
      </c>
      <c r="E48" s="46">
        <f>SUM(E49)</f>
        <v>0</v>
      </c>
      <c r="F48" s="46">
        <f>SUM(F49)</f>
        <v>0</v>
      </c>
    </row>
    <row r="49" spans="2:6" ht="21.75" customHeight="1" thickBot="1" x14ac:dyDescent="0.3">
      <c r="B49" s="18" t="s">
        <v>25</v>
      </c>
      <c r="C49" s="49"/>
      <c r="D49" s="49"/>
      <c r="E49" s="49">
        <f>C49+D49</f>
        <v>0</v>
      </c>
      <c r="F49" s="49"/>
    </row>
    <row r="50" spans="2:6" ht="30.75" customHeight="1" thickBot="1" x14ac:dyDescent="0.35">
      <c r="B50" s="12" t="s">
        <v>38</v>
      </c>
      <c r="C50" s="46">
        <f>SUM(C51:C54)</f>
        <v>0</v>
      </c>
      <c r="D50" s="46"/>
      <c r="E50" s="46">
        <f>SUM(E51:E54)</f>
        <v>0</v>
      </c>
      <c r="F50" s="46"/>
    </row>
    <row r="51" spans="2:6" ht="21.75" customHeight="1" x14ac:dyDescent="0.25">
      <c r="B51" s="16" t="s">
        <v>42</v>
      </c>
      <c r="C51" s="50"/>
      <c r="D51" s="50"/>
      <c r="E51" s="50"/>
      <c r="F51" s="50"/>
    </row>
    <row r="52" spans="2:6" ht="21.75" customHeight="1" x14ac:dyDescent="0.25">
      <c r="B52" s="25" t="s">
        <v>45</v>
      </c>
      <c r="C52" s="47"/>
      <c r="D52" s="47"/>
      <c r="E52" s="47"/>
      <c r="F52" s="47"/>
    </row>
    <row r="53" spans="2:6" ht="21.75" customHeight="1" x14ac:dyDescent="0.25">
      <c r="B53" s="25" t="s">
        <v>43</v>
      </c>
      <c r="C53" s="48"/>
      <c r="D53" s="48"/>
      <c r="E53" s="48"/>
      <c r="F53" s="48"/>
    </row>
    <row r="54" spans="2:6" ht="21.75" customHeight="1" thickBot="1" x14ac:dyDescent="0.3">
      <c r="B54" s="16" t="s">
        <v>39</v>
      </c>
      <c r="C54" s="49"/>
      <c r="D54" s="49"/>
      <c r="E54" s="49"/>
      <c r="F54" s="49"/>
    </row>
    <row r="55" spans="2:6" ht="36" customHeight="1" thickBot="1" x14ac:dyDescent="0.35">
      <c r="B55" s="13" t="s">
        <v>3</v>
      </c>
      <c r="C55" s="3">
        <f>SUM(C14+C22+C44+C48+C50)</f>
        <v>5799193</v>
      </c>
      <c r="D55" s="3">
        <f>SUM(D14+D22+D44+D48+D50)</f>
        <v>-151567.1</v>
      </c>
      <c r="E55" s="3">
        <f>SUM(E14+E22+E44+E48+E50)</f>
        <v>5647625.9000000004</v>
      </c>
      <c r="F55" s="3">
        <f>SUM(F14+F22+F44+F48+F50)</f>
        <v>5647625.9000000004</v>
      </c>
    </row>
    <row r="57" spans="2:6" ht="18" customHeight="1" x14ac:dyDescent="0.2">
      <c r="B57" s="66" t="s">
        <v>63</v>
      </c>
      <c r="C57" s="67"/>
      <c r="E57"/>
      <c r="F57" s="57"/>
    </row>
    <row r="58" spans="2:6" ht="18" customHeight="1" x14ac:dyDescent="0.2">
      <c r="B58" s="66" t="s">
        <v>66</v>
      </c>
      <c r="C58" s="66"/>
      <c r="E58"/>
      <c r="F58" s="57"/>
    </row>
    <row r="59" spans="2:6" ht="18" customHeight="1" thickBot="1" x14ac:dyDescent="0.25">
      <c r="B59" s="1"/>
      <c r="C59" s="1"/>
      <c r="E59"/>
    </row>
    <row r="60" spans="2:6" ht="18" customHeight="1" x14ac:dyDescent="0.2">
      <c r="B60" s="114" t="s">
        <v>67</v>
      </c>
      <c r="C60" s="140" t="s">
        <v>68</v>
      </c>
      <c r="D60" s="124" t="s">
        <v>46</v>
      </c>
      <c r="E60" s="124" t="s">
        <v>44</v>
      </c>
      <c r="F60" s="124" t="s">
        <v>47</v>
      </c>
    </row>
    <row r="61" spans="2:6" ht="16.5" customHeight="1" thickBot="1" x14ac:dyDescent="0.25">
      <c r="B61" s="115"/>
      <c r="C61" s="141"/>
      <c r="D61" s="125"/>
      <c r="E61" s="125"/>
      <c r="F61" s="125"/>
    </row>
    <row r="62" spans="2:6" ht="18" hidden="1" customHeight="1" thickBot="1" x14ac:dyDescent="0.25">
      <c r="B62" s="116"/>
      <c r="C62" s="142"/>
      <c r="D62" s="126"/>
      <c r="E62" s="126"/>
      <c r="F62" s="126"/>
    </row>
    <row r="63" spans="2:6" ht="18" customHeight="1" x14ac:dyDescent="0.2">
      <c r="B63" s="122"/>
      <c r="C63" s="137">
        <f>SUM(C65:C65)</f>
        <v>42870</v>
      </c>
      <c r="D63" s="127">
        <f>SUM(D65:D65)</f>
        <v>-21405</v>
      </c>
      <c r="E63" s="120">
        <f>SUM(E65:E65)</f>
        <v>21465</v>
      </c>
      <c r="F63" s="120">
        <v>0</v>
      </c>
    </row>
    <row r="64" spans="2:6" ht="15" customHeight="1" thickBot="1" x14ac:dyDescent="0.25">
      <c r="B64" s="123"/>
      <c r="C64" s="138"/>
      <c r="D64" s="128"/>
      <c r="E64" s="121"/>
      <c r="F64" s="121"/>
    </row>
    <row r="65" spans="1:6" ht="29.25" customHeight="1" thickBot="1" x14ac:dyDescent="0.25">
      <c r="B65" s="96" t="s">
        <v>78</v>
      </c>
      <c r="C65" s="71">
        <f>4930+37940</f>
        <v>42870</v>
      </c>
      <c r="D65" s="103">
        <f>-2465-18940</f>
        <v>-21405</v>
      </c>
      <c r="E65" s="71">
        <f>+C65+D65</f>
        <v>21465</v>
      </c>
      <c r="F65" s="71">
        <v>0</v>
      </c>
    </row>
    <row r="66" spans="1:6" ht="18" customHeight="1" x14ac:dyDescent="0.25">
      <c r="B66" s="95" t="s">
        <v>80</v>
      </c>
      <c r="E66"/>
    </row>
    <row r="68" spans="1:6" ht="18" customHeight="1" x14ac:dyDescent="0.2">
      <c r="A68" s="2" t="s">
        <v>36</v>
      </c>
      <c r="B68" s="2"/>
    </row>
    <row r="69" spans="1:6" ht="18" customHeight="1" x14ac:dyDescent="0.2">
      <c r="A69" s="2" t="s">
        <v>1</v>
      </c>
      <c r="B69" s="2"/>
    </row>
    <row r="70" spans="1:6" ht="18" customHeight="1" x14ac:dyDescent="0.2">
      <c r="A70" s="2" t="s">
        <v>2</v>
      </c>
      <c r="B70" s="2"/>
    </row>
    <row r="71" spans="1:6" ht="18" customHeight="1" x14ac:dyDescent="0.2">
      <c r="B71" s="2"/>
    </row>
    <row r="72" spans="1:6" ht="18" customHeight="1" x14ac:dyDescent="0.35">
      <c r="A72" s="32" t="s">
        <v>59</v>
      </c>
      <c r="B72" s="32"/>
      <c r="C72" s="32"/>
      <c r="D72" s="39"/>
      <c r="E72" s="39"/>
    </row>
    <row r="73" spans="1:6" ht="18" customHeight="1" x14ac:dyDescent="0.35">
      <c r="A73" s="112" t="s">
        <v>51</v>
      </c>
      <c r="B73" s="112"/>
      <c r="C73" s="112"/>
      <c r="D73" s="112"/>
      <c r="E73" s="112"/>
    </row>
    <row r="74" spans="1:6" ht="18" customHeight="1" x14ac:dyDescent="0.4">
      <c r="B74" s="113"/>
      <c r="C74" s="113"/>
      <c r="D74" s="100"/>
      <c r="E74" s="112" t="s">
        <v>50</v>
      </c>
      <c r="F74" s="112"/>
    </row>
    <row r="75" spans="1:6" ht="18" customHeight="1" x14ac:dyDescent="0.25">
      <c r="B75" s="33" t="s">
        <v>0</v>
      </c>
      <c r="C75" s="31"/>
      <c r="D75" s="101"/>
    </row>
    <row r="76" spans="1:6" ht="18" customHeight="1" x14ac:dyDescent="0.25">
      <c r="A76" s="31"/>
      <c r="B76" s="34" t="s">
        <v>41</v>
      </c>
      <c r="C76" s="31"/>
      <c r="D76" s="101"/>
    </row>
    <row r="77" spans="1:6" ht="18" customHeight="1" thickBot="1" x14ac:dyDescent="0.25">
      <c r="B77" s="1"/>
      <c r="C77" s="1"/>
      <c r="D77" s="102"/>
    </row>
    <row r="78" spans="1:6" ht="18" customHeight="1" x14ac:dyDescent="0.2">
      <c r="B78" s="114" t="s">
        <v>52</v>
      </c>
      <c r="C78" s="124" t="s">
        <v>48</v>
      </c>
      <c r="D78" s="124" t="s">
        <v>46</v>
      </c>
      <c r="E78" s="124" t="s">
        <v>44</v>
      </c>
      <c r="F78" s="124" t="s">
        <v>47</v>
      </c>
    </row>
    <row r="79" spans="1:6" ht="18" customHeight="1" x14ac:dyDescent="0.2">
      <c r="B79" s="115"/>
      <c r="C79" s="125"/>
      <c r="D79" s="125"/>
      <c r="E79" s="125"/>
      <c r="F79" s="125"/>
    </row>
    <row r="80" spans="1:6" ht="18" customHeight="1" thickBot="1" x14ac:dyDescent="0.25">
      <c r="B80" s="116"/>
      <c r="C80" s="126"/>
      <c r="D80" s="126"/>
      <c r="E80" s="126"/>
      <c r="F80" s="126"/>
    </row>
    <row r="81" spans="2:6" ht="18" customHeight="1" x14ac:dyDescent="0.2">
      <c r="B81" s="122" t="s">
        <v>4</v>
      </c>
      <c r="C81" s="127">
        <f>SUM(C83:C89)</f>
        <v>4226469</v>
      </c>
      <c r="D81" s="127">
        <f>SUM(D83:D89)</f>
        <v>-467272.5</v>
      </c>
      <c r="E81" s="127">
        <f>SUM(E83:E89)</f>
        <v>3759196.5</v>
      </c>
      <c r="F81" s="127">
        <f>SUM(F83:F89)</f>
        <v>3759196.5</v>
      </c>
    </row>
    <row r="82" spans="2:6" ht="18" customHeight="1" thickBot="1" x14ac:dyDescent="0.25">
      <c r="B82" s="123"/>
      <c r="C82" s="128"/>
      <c r="D82" s="128"/>
      <c r="E82" s="128"/>
      <c r="F82" s="128"/>
    </row>
    <row r="83" spans="2:6" ht="18" customHeight="1" x14ac:dyDescent="0.25">
      <c r="B83" s="14" t="s">
        <v>31</v>
      </c>
      <c r="C83" s="40">
        <v>3587958</v>
      </c>
      <c r="D83" s="40">
        <v>-297336.24</v>
      </c>
      <c r="E83" s="40">
        <f t="shared" ref="E83:E89" si="5">C83+D83</f>
        <v>3290621.76</v>
      </c>
      <c r="F83" s="40">
        <v>3290621.76</v>
      </c>
    </row>
    <row r="84" spans="2:6" ht="18" customHeight="1" x14ac:dyDescent="0.25">
      <c r="B84" s="7" t="s">
        <v>32</v>
      </c>
      <c r="C84" s="40"/>
      <c r="D84" s="40"/>
      <c r="E84" s="40">
        <f t="shared" si="5"/>
        <v>0</v>
      </c>
      <c r="F84" s="40"/>
    </row>
    <row r="85" spans="2:6" ht="18" customHeight="1" x14ac:dyDescent="0.25">
      <c r="B85" s="7" t="s">
        <v>40</v>
      </c>
      <c r="C85" s="40"/>
      <c r="D85" s="40"/>
      <c r="E85" s="40">
        <f t="shared" si="5"/>
        <v>0</v>
      </c>
      <c r="F85" s="40"/>
    </row>
    <row r="86" spans="2:6" ht="18" customHeight="1" x14ac:dyDescent="0.25">
      <c r="B86" s="7" t="s">
        <v>33</v>
      </c>
      <c r="C86" s="40">
        <v>326625</v>
      </c>
      <c r="D86" s="40">
        <v>-53532.57</v>
      </c>
      <c r="E86" s="40">
        <f t="shared" si="5"/>
        <v>273092.43</v>
      </c>
      <c r="F86" s="40">
        <v>273092.43</v>
      </c>
    </row>
    <row r="87" spans="2:6" ht="18" customHeight="1" x14ac:dyDescent="0.25">
      <c r="B87" s="8" t="s">
        <v>34</v>
      </c>
      <c r="C87" s="40">
        <v>168429</v>
      </c>
      <c r="D87" s="40">
        <v>-5541.99</v>
      </c>
      <c r="E87" s="40">
        <f t="shared" si="5"/>
        <v>162887.01</v>
      </c>
      <c r="F87" s="40">
        <v>162887.01</v>
      </c>
    </row>
    <row r="88" spans="2:6" ht="18" customHeight="1" x14ac:dyDescent="0.25">
      <c r="B88" s="17" t="s">
        <v>61</v>
      </c>
      <c r="C88" s="60">
        <v>143457</v>
      </c>
      <c r="D88" s="40">
        <v>-143457</v>
      </c>
      <c r="E88" s="40">
        <f t="shared" si="5"/>
        <v>0</v>
      </c>
      <c r="F88" s="61">
        <v>0</v>
      </c>
    </row>
    <row r="89" spans="2:6" ht="18" customHeight="1" thickBot="1" x14ac:dyDescent="0.3">
      <c r="B89" s="62" t="s">
        <v>35</v>
      </c>
      <c r="C89" s="60"/>
      <c r="D89" s="40">
        <v>32595.3</v>
      </c>
      <c r="E89" s="40">
        <f t="shared" si="5"/>
        <v>32595.3</v>
      </c>
      <c r="F89" s="51">
        <v>32595.3</v>
      </c>
    </row>
    <row r="90" spans="2:6" ht="18" customHeight="1" x14ac:dyDescent="0.2">
      <c r="B90" s="122" t="s">
        <v>29</v>
      </c>
      <c r="C90" s="166">
        <f>C92+C97+C99+C105+C108+C111</f>
        <v>11542361</v>
      </c>
      <c r="D90" s="127">
        <f t="shared" ref="D90:F90" si="6">D92+D97+D99+D105+D108+D111</f>
        <v>-2006851.4100000004</v>
      </c>
      <c r="E90" s="127">
        <f t="shared" si="6"/>
        <v>9535509.5900000017</v>
      </c>
      <c r="F90" s="127">
        <f t="shared" si="6"/>
        <v>9535509.5900000017</v>
      </c>
    </row>
    <row r="91" spans="2:6" ht="18" customHeight="1" thickBot="1" x14ac:dyDescent="0.25">
      <c r="B91" s="123"/>
      <c r="C91" s="128"/>
      <c r="D91" s="128"/>
      <c r="E91" s="128"/>
      <c r="F91" s="128"/>
    </row>
    <row r="92" spans="2:6" ht="18" customHeight="1" x14ac:dyDescent="0.25">
      <c r="B92" s="6" t="s">
        <v>11</v>
      </c>
      <c r="C92" s="41">
        <f>SUM(C93:C96)</f>
        <v>657720</v>
      </c>
      <c r="D92" s="41">
        <f>SUM(D93:D96)</f>
        <v>-26979.610000000004</v>
      </c>
      <c r="E92" s="41">
        <f>SUM(E93:E96)</f>
        <v>630740.3899999999</v>
      </c>
      <c r="F92" s="41">
        <f>SUM(F93:F96)</f>
        <v>630740.3899999999</v>
      </c>
    </row>
    <row r="93" spans="2:6" ht="18" customHeight="1" x14ac:dyDescent="0.25">
      <c r="B93" s="7" t="s">
        <v>5</v>
      </c>
      <c r="C93" s="42">
        <v>328350</v>
      </c>
      <c r="D93" s="42">
        <v>28305.1</v>
      </c>
      <c r="E93" s="42">
        <f>C93+D93</f>
        <v>356655.1</v>
      </c>
      <c r="F93" s="42">
        <v>356655.1</v>
      </c>
    </row>
    <row r="94" spans="2:6" ht="18" customHeight="1" x14ac:dyDescent="0.25">
      <c r="B94" s="7" t="s">
        <v>6</v>
      </c>
      <c r="C94" s="42">
        <v>234900</v>
      </c>
      <c r="D94" s="42">
        <v>8849.2999999999993</v>
      </c>
      <c r="E94" s="42">
        <f>C94+D94</f>
        <v>243749.3</v>
      </c>
      <c r="F94" s="42">
        <v>243749.3</v>
      </c>
    </row>
    <row r="95" spans="2:6" ht="18" customHeight="1" x14ac:dyDescent="0.25">
      <c r="B95" s="7" t="s">
        <v>7</v>
      </c>
      <c r="C95" s="42">
        <v>93570</v>
      </c>
      <c r="D95" s="42">
        <v>-63816.5</v>
      </c>
      <c r="E95" s="42">
        <f>C95+D95</f>
        <v>29753.5</v>
      </c>
      <c r="F95" s="42">
        <v>29753.5</v>
      </c>
    </row>
    <row r="96" spans="2:6" ht="18" customHeight="1" x14ac:dyDescent="0.25">
      <c r="B96" s="8" t="s">
        <v>8</v>
      </c>
      <c r="C96" s="42">
        <v>900</v>
      </c>
      <c r="D96" s="42">
        <v>-317.51</v>
      </c>
      <c r="E96" s="42">
        <f>C96+D96</f>
        <v>582.49</v>
      </c>
      <c r="F96" s="42">
        <v>582.49</v>
      </c>
    </row>
    <row r="97" spans="2:6" ht="18" customHeight="1" x14ac:dyDescent="0.25">
      <c r="B97" s="9" t="s">
        <v>12</v>
      </c>
      <c r="C97" s="43">
        <f>SUM(C98)</f>
        <v>10616461</v>
      </c>
      <c r="D97" s="43">
        <f>SUM(D98)</f>
        <v>-1987144.09</v>
      </c>
      <c r="E97" s="43">
        <f>SUM(E98)</f>
        <v>8629316.9100000001</v>
      </c>
      <c r="F97" s="43">
        <f>SUM(F98)</f>
        <v>8629316.9100000001</v>
      </c>
    </row>
    <row r="98" spans="2:6" ht="18" customHeight="1" x14ac:dyDescent="0.25">
      <c r="B98" s="10" t="s">
        <v>16</v>
      </c>
      <c r="C98" s="42">
        <v>10616461</v>
      </c>
      <c r="D98" s="42">
        <v>-1987144.09</v>
      </c>
      <c r="E98" s="42">
        <f>C98+D98</f>
        <v>8629316.9100000001</v>
      </c>
      <c r="F98" s="42">
        <v>8629316.9100000001</v>
      </c>
    </row>
    <row r="99" spans="2:6" ht="18" customHeight="1" x14ac:dyDescent="0.25">
      <c r="B99" s="11" t="s">
        <v>21</v>
      </c>
      <c r="C99" s="44">
        <f>SUM(C100:C104)</f>
        <v>22510</v>
      </c>
      <c r="D99" s="44">
        <f>SUM(D100:D104)</f>
        <v>-5115.5400000000009</v>
      </c>
      <c r="E99" s="44">
        <f>SUM(E100:E104)</f>
        <v>17394.46</v>
      </c>
      <c r="F99" s="44">
        <f>SUM(F100:F104)</f>
        <v>17394.46</v>
      </c>
    </row>
    <row r="100" spans="2:6" ht="18" customHeight="1" x14ac:dyDescent="0.25">
      <c r="B100" s="8" t="s">
        <v>20</v>
      </c>
      <c r="C100" s="42">
        <v>11595</v>
      </c>
      <c r="D100" s="42">
        <v>2467.9</v>
      </c>
      <c r="E100" s="42">
        <f>C100+D100</f>
        <v>14062.9</v>
      </c>
      <c r="F100" s="42">
        <v>14062.9</v>
      </c>
    </row>
    <row r="101" spans="2:6" ht="18" customHeight="1" x14ac:dyDescent="0.25">
      <c r="B101" s="8" t="s">
        <v>30</v>
      </c>
      <c r="C101" s="42">
        <v>7285</v>
      </c>
      <c r="D101" s="42">
        <v>-7161.6</v>
      </c>
      <c r="E101" s="42">
        <f>C101+D101</f>
        <v>123.39999999999964</v>
      </c>
      <c r="F101" s="42">
        <v>123.4</v>
      </c>
    </row>
    <row r="102" spans="2:6" ht="18" customHeight="1" x14ac:dyDescent="0.25">
      <c r="B102" s="8" t="s">
        <v>19</v>
      </c>
      <c r="C102" s="42"/>
      <c r="D102" s="42">
        <f>460.75+293.41</f>
        <v>754.16000000000008</v>
      </c>
      <c r="E102" s="42">
        <f t="shared" ref="E102:E104" si="7">C102+D102</f>
        <v>754.16000000000008</v>
      </c>
      <c r="F102" s="42">
        <f>293.41+460.75</f>
        <v>754.16000000000008</v>
      </c>
    </row>
    <row r="103" spans="2:6" ht="18" customHeight="1" x14ac:dyDescent="0.25">
      <c r="B103" s="8" t="s">
        <v>17</v>
      </c>
      <c r="C103" s="42">
        <v>1430</v>
      </c>
      <c r="D103" s="42">
        <v>-1430</v>
      </c>
      <c r="E103" s="42">
        <f t="shared" si="7"/>
        <v>0</v>
      </c>
      <c r="F103" s="42">
        <v>0</v>
      </c>
    </row>
    <row r="104" spans="2:6" ht="18" customHeight="1" x14ac:dyDescent="0.25">
      <c r="B104" s="8" t="s">
        <v>18</v>
      </c>
      <c r="C104" s="42">
        <v>2200</v>
      </c>
      <c r="D104" s="42">
        <v>254</v>
      </c>
      <c r="E104" s="42">
        <f t="shared" si="7"/>
        <v>2454</v>
      </c>
      <c r="F104" s="42">
        <v>2454</v>
      </c>
    </row>
    <row r="105" spans="2:6" ht="18" customHeight="1" x14ac:dyDescent="0.25">
      <c r="B105" s="11" t="s">
        <v>26</v>
      </c>
      <c r="C105" s="44">
        <f>SUM(C106:C107)</f>
        <v>130730</v>
      </c>
      <c r="D105" s="44">
        <f>SUM(D106:D107)</f>
        <v>-10378.089999999997</v>
      </c>
      <c r="E105" s="44">
        <f>SUM(E106:E107)</f>
        <v>120351.91</v>
      </c>
      <c r="F105" s="44">
        <f>SUM(F106:F107)</f>
        <v>120351.91</v>
      </c>
    </row>
    <row r="106" spans="2:6" ht="18" customHeight="1" x14ac:dyDescent="0.25">
      <c r="B106" s="8" t="s">
        <v>27</v>
      </c>
      <c r="C106" s="42">
        <v>51635</v>
      </c>
      <c r="D106" s="42">
        <v>-34921.949999999997</v>
      </c>
      <c r="E106" s="42">
        <f>C106+D106</f>
        <v>16713.050000000003</v>
      </c>
      <c r="F106" s="42">
        <v>16713.05</v>
      </c>
    </row>
    <row r="107" spans="2:6" ht="18" customHeight="1" x14ac:dyDescent="0.25">
      <c r="B107" s="8" t="s">
        <v>28</v>
      </c>
      <c r="C107" s="42">
        <v>79095</v>
      </c>
      <c r="D107" s="42">
        <v>24543.86</v>
      </c>
      <c r="E107" s="42">
        <f>C107+D107</f>
        <v>103638.86</v>
      </c>
      <c r="F107" s="42">
        <v>103638.86</v>
      </c>
    </row>
    <row r="108" spans="2:6" ht="18" customHeight="1" x14ac:dyDescent="0.25">
      <c r="B108" s="11" t="s">
        <v>13</v>
      </c>
      <c r="C108" s="44">
        <f>SUM(C109:C110)</f>
        <v>75870</v>
      </c>
      <c r="D108" s="44">
        <f>SUM(D109:D110)</f>
        <v>-16470</v>
      </c>
      <c r="E108" s="44">
        <f>SUM(E109:E110)</f>
        <v>59400</v>
      </c>
      <c r="F108" s="44">
        <f>SUM(F109:F110)</f>
        <v>59400</v>
      </c>
    </row>
    <row r="109" spans="2:6" ht="18" customHeight="1" x14ac:dyDescent="0.25">
      <c r="B109" s="8" t="s">
        <v>9</v>
      </c>
      <c r="C109" s="42">
        <v>26460</v>
      </c>
      <c r="D109" s="42"/>
      <c r="E109" s="42">
        <f>C109+D109</f>
        <v>26460</v>
      </c>
      <c r="F109" s="42">
        <v>26460</v>
      </c>
    </row>
    <row r="110" spans="2:6" ht="18" customHeight="1" x14ac:dyDescent="0.25">
      <c r="B110" s="8" t="s">
        <v>10</v>
      </c>
      <c r="C110" s="42">
        <v>49410</v>
      </c>
      <c r="D110" s="42">
        <v>-16470</v>
      </c>
      <c r="E110" s="42">
        <f>C110+D110</f>
        <v>32940</v>
      </c>
      <c r="F110" s="42">
        <v>32940</v>
      </c>
    </row>
    <row r="111" spans="2:6" ht="18" customHeight="1" thickBot="1" x14ac:dyDescent="0.3">
      <c r="B111" s="15" t="s">
        <v>14</v>
      </c>
      <c r="C111" s="52">
        <f>4535+825+3545+410+7740+6265+345+15405</f>
        <v>39070</v>
      </c>
      <c r="D111" s="52">
        <f>(932.54+3.6+1405.36+510+6267.93+171.33+63.5+537.96+1820.55+5678.86+18495.32+27.21+10790+482.5)-(210.74+7740)</f>
        <v>39235.919999999998</v>
      </c>
      <c r="E111" s="45">
        <f>C111+D111</f>
        <v>78305.919999999998</v>
      </c>
      <c r="F111" s="52">
        <f>5467.54+3.6+2230.36+510+6267.93+171.33+3608.5+537.96+1820.55+5678.86+199.26+24760.32+372.21+26195+482.5</f>
        <v>78305.919999999998</v>
      </c>
    </row>
    <row r="112" spans="2:6" ht="18" customHeight="1" thickBot="1" x14ac:dyDescent="0.35">
      <c r="B112" s="12" t="s">
        <v>22</v>
      </c>
      <c r="C112" s="46">
        <f>SUM(C113:C115)</f>
        <v>96058</v>
      </c>
      <c r="D112" s="46">
        <f>SUM(D113:D115)</f>
        <v>-1941.12</v>
      </c>
      <c r="E112" s="46">
        <f>SUM(E113:E115)</f>
        <v>94116.88</v>
      </c>
      <c r="F112" s="46">
        <f>SUM(F113:F115)</f>
        <v>94116.88</v>
      </c>
    </row>
    <row r="113" spans="2:6" ht="18" customHeight="1" x14ac:dyDescent="0.25">
      <c r="B113" s="16" t="s">
        <v>15</v>
      </c>
      <c r="C113" s="47">
        <v>62973</v>
      </c>
      <c r="D113" s="47">
        <v>-3578.88</v>
      </c>
      <c r="E113" s="47">
        <f>C113+D113</f>
        <v>59394.12</v>
      </c>
      <c r="F113" s="47">
        <v>59394.12</v>
      </c>
    </row>
    <row r="114" spans="2:6" ht="18" customHeight="1" x14ac:dyDescent="0.25">
      <c r="B114" s="16" t="s">
        <v>37</v>
      </c>
      <c r="C114" s="48"/>
      <c r="D114" s="48">
        <v>1469.4</v>
      </c>
      <c r="E114" s="42">
        <f>C114+D114</f>
        <v>1469.4</v>
      </c>
      <c r="F114" s="48">
        <v>1469.4</v>
      </c>
    </row>
    <row r="115" spans="2:6" ht="18" customHeight="1" thickBot="1" x14ac:dyDescent="0.3">
      <c r="B115" s="17" t="s">
        <v>23</v>
      </c>
      <c r="C115" s="49">
        <v>33085</v>
      </c>
      <c r="D115" s="49">
        <v>168.36</v>
      </c>
      <c r="E115" s="49">
        <f>C115+D115</f>
        <v>33253.360000000001</v>
      </c>
      <c r="F115" s="49">
        <v>33253.360000000001</v>
      </c>
    </row>
    <row r="116" spans="2:6" ht="18" customHeight="1" thickBot="1" x14ac:dyDescent="0.35">
      <c r="B116" s="12" t="s">
        <v>24</v>
      </c>
      <c r="C116" s="46">
        <f>SUM(C117)</f>
        <v>0</v>
      </c>
      <c r="D116" s="46">
        <f>SUM(D117)</f>
        <v>423.78</v>
      </c>
      <c r="E116" s="46">
        <f>SUM(E117)</f>
        <v>423.78</v>
      </c>
      <c r="F116" s="46">
        <f>SUM(F117)</f>
        <v>423.78</v>
      </c>
    </row>
    <row r="117" spans="2:6" ht="18" customHeight="1" thickBot="1" x14ac:dyDescent="0.3">
      <c r="B117" s="18" t="s">
        <v>25</v>
      </c>
      <c r="C117" s="49"/>
      <c r="D117" s="49">
        <v>423.78</v>
      </c>
      <c r="E117" s="49">
        <f>C117+D117</f>
        <v>423.78</v>
      </c>
      <c r="F117" s="49">
        <v>423.78</v>
      </c>
    </row>
    <row r="118" spans="2:6" ht="18" customHeight="1" thickBot="1" x14ac:dyDescent="0.35">
      <c r="B118" s="12" t="s">
        <v>38</v>
      </c>
      <c r="C118" s="46">
        <f>SUM(C119:C122)</f>
        <v>0</v>
      </c>
      <c r="D118" s="46">
        <f>SUM(D119:D122)</f>
        <v>0</v>
      </c>
      <c r="E118" s="46">
        <f>SUM(E119:E122)</f>
        <v>0</v>
      </c>
      <c r="F118" s="46">
        <f>SUM(F119:F122)</f>
        <v>0</v>
      </c>
    </row>
    <row r="119" spans="2:6" ht="18" customHeight="1" x14ac:dyDescent="0.25">
      <c r="B119" s="16" t="s">
        <v>42</v>
      </c>
      <c r="C119" s="50"/>
      <c r="D119" s="50"/>
      <c r="E119" s="42">
        <f t="shared" ref="E119:E122" si="8">C119+D119</f>
        <v>0</v>
      </c>
      <c r="F119" s="50"/>
    </row>
    <row r="120" spans="2:6" ht="18" customHeight="1" x14ac:dyDescent="0.25">
      <c r="B120" s="25" t="s">
        <v>45</v>
      </c>
      <c r="C120" s="47"/>
      <c r="D120" s="47"/>
      <c r="E120" s="42">
        <f t="shared" si="8"/>
        <v>0</v>
      </c>
      <c r="F120" s="47"/>
    </row>
    <row r="121" spans="2:6" ht="18" customHeight="1" x14ac:dyDescent="0.25">
      <c r="B121" s="25" t="s">
        <v>43</v>
      </c>
      <c r="C121" s="48"/>
      <c r="D121" s="48"/>
      <c r="E121" s="42">
        <f t="shared" si="8"/>
        <v>0</v>
      </c>
      <c r="F121" s="48"/>
    </row>
    <row r="122" spans="2:6" ht="18" customHeight="1" thickBot="1" x14ac:dyDescent="0.3">
      <c r="B122" s="16" t="s">
        <v>39</v>
      </c>
      <c r="C122" s="49"/>
      <c r="D122" s="49"/>
      <c r="E122" s="42">
        <f t="shared" si="8"/>
        <v>0</v>
      </c>
      <c r="F122" s="49"/>
    </row>
    <row r="123" spans="2:6" ht="18" customHeight="1" thickBot="1" x14ac:dyDescent="0.35">
      <c r="B123" s="13" t="s">
        <v>3</v>
      </c>
      <c r="C123" s="3">
        <f>SUM(C81+C90+C112+C116+C118)</f>
        <v>15864888</v>
      </c>
      <c r="D123" s="3">
        <f>SUM(D81+D90+D112+D116+D118)</f>
        <v>-2475641.2500000005</v>
      </c>
      <c r="E123" s="3">
        <f>SUM(E81+E90+E112+E116+E118)</f>
        <v>13389246.750000002</v>
      </c>
      <c r="F123" s="3">
        <f>SUM(F81+F90+F112+F116+F118)</f>
        <v>13389246.750000002</v>
      </c>
    </row>
    <row r="126" spans="2:6" ht="18" customHeight="1" x14ac:dyDescent="0.2">
      <c r="B126" s="66" t="s">
        <v>63</v>
      </c>
      <c r="C126" s="67"/>
      <c r="E126"/>
      <c r="F126" s="55"/>
    </row>
    <row r="127" spans="2:6" ht="18" customHeight="1" x14ac:dyDescent="0.2">
      <c r="B127" s="66" t="s">
        <v>66</v>
      </c>
      <c r="C127" s="66"/>
      <c r="E127"/>
    </row>
    <row r="128" spans="2:6" ht="18" customHeight="1" thickBot="1" x14ac:dyDescent="0.25">
      <c r="B128" s="1"/>
      <c r="C128" s="1"/>
      <c r="E128"/>
    </row>
    <row r="129" spans="1:6" ht="18" customHeight="1" x14ac:dyDescent="0.2">
      <c r="B129" s="114" t="s">
        <v>67</v>
      </c>
      <c r="C129" s="140" t="s">
        <v>68</v>
      </c>
      <c r="D129" s="124" t="s">
        <v>46</v>
      </c>
      <c r="E129" s="124" t="s">
        <v>44</v>
      </c>
      <c r="F129" s="124" t="s">
        <v>47</v>
      </c>
    </row>
    <row r="130" spans="1:6" ht="18" customHeight="1" x14ac:dyDescent="0.2">
      <c r="B130" s="115"/>
      <c r="C130" s="141"/>
      <c r="D130" s="125"/>
      <c r="E130" s="125"/>
      <c r="F130" s="125"/>
    </row>
    <row r="131" spans="1:6" ht="4.5" customHeight="1" thickBot="1" x14ac:dyDescent="0.25">
      <c r="B131" s="116"/>
      <c r="C131" s="142"/>
      <c r="D131" s="126"/>
      <c r="E131" s="126"/>
      <c r="F131" s="126"/>
    </row>
    <row r="132" spans="1:6" ht="18" customHeight="1" x14ac:dyDescent="0.2">
      <c r="B132" s="122"/>
      <c r="C132" s="137">
        <f>SUM(C134:C136)</f>
        <v>2672164</v>
      </c>
      <c r="D132" s="127">
        <f>SUM(D134:D136)</f>
        <v>-2564959</v>
      </c>
      <c r="E132" s="120">
        <f>SUM(E134:E136)</f>
        <v>107205</v>
      </c>
      <c r="F132" s="158"/>
    </row>
    <row r="133" spans="1:6" ht="18" customHeight="1" thickBot="1" x14ac:dyDescent="0.25">
      <c r="B133" s="123"/>
      <c r="C133" s="138"/>
      <c r="D133" s="128"/>
      <c r="E133" s="121"/>
      <c r="F133" s="159"/>
    </row>
    <row r="134" spans="1:6" ht="18" customHeight="1" x14ac:dyDescent="0.2">
      <c r="B134" s="139" t="s">
        <v>72</v>
      </c>
      <c r="C134" s="134">
        <f>292622+2250932</f>
        <v>2543554</v>
      </c>
      <c r="D134" s="162">
        <f>-292622-2250932</f>
        <v>-2543554</v>
      </c>
      <c r="E134" s="134">
        <f>+C134+D134</f>
        <v>0</v>
      </c>
      <c r="F134" s="160"/>
    </row>
    <row r="135" spans="1:6" ht="26.25" customHeight="1" x14ac:dyDescent="0.2">
      <c r="B135" s="132"/>
      <c r="C135" s="133"/>
      <c r="D135" s="163"/>
      <c r="E135" s="133"/>
      <c r="F135" s="161"/>
    </row>
    <row r="136" spans="1:6" ht="39" customHeight="1" thickBot="1" x14ac:dyDescent="0.25">
      <c r="B136" s="73" t="s">
        <v>78</v>
      </c>
      <c r="C136" s="71">
        <f>14790+113820</f>
        <v>128610</v>
      </c>
      <c r="D136" s="103">
        <f>-2465-18940</f>
        <v>-21405</v>
      </c>
      <c r="E136" s="97">
        <f>+C136+D136</f>
        <v>107205</v>
      </c>
      <c r="F136" s="77">
        <v>0</v>
      </c>
    </row>
    <row r="137" spans="1:6" ht="18" customHeight="1" x14ac:dyDescent="0.25">
      <c r="B137" s="95" t="s">
        <v>80</v>
      </c>
      <c r="E137"/>
    </row>
    <row r="138" spans="1:6" ht="18" customHeight="1" x14ac:dyDescent="0.2">
      <c r="A138" s="2" t="s">
        <v>36</v>
      </c>
      <c r="B138" s="2"/>
    </row>
    <row r="139" spans="1:6" ht="18" customHeight="1" x14ac:dyDescent="0.2">
      <c r="A139" s="2" t="s">
        <v>1</v>
      </c>
      <c r="B139" s="2"/>
    </row>
    <row r="140" spans="1:6" ht="18" customHeight="1" x14ac:dyDescent="0.2">
      <c r="A140" s="2" t="s">
        <v>2</v>
      </c>
      <c r="B140" s="2"/>
    </row>
    <row r="141" spans="1:6" ht="18" customHeight="1" x14ac:dyDescent="0.2">
      <c r="B141" s="2"/>
    </row>
    <row r="142" spans="1:6" ht="18" customHeight="1" x14ac:dyDescent="0.35">
      <c r="A142" s="32" t="s">
        <v>59</v>
      </c>
      <c r="B142" s="32"/>
      <c r="C142" s="32"/>
      <c r="D142" s="39"/>
      <c r="E142" s="39"/>
    </row>
    <row r="143" spans="1:6" ht="18" customHeight="1" x14ac:dyDescent="0.35">
      <c r="A143" s="112" t="s">
        <v>51</v>
      </c>
      <c r="B143" s="112"/>
      <c r="C143" s="112"/>
      <c r="D143" s="112"/>
      <c r="E143" s="112"/>
    </row>
    <row r="144" spans="1:6" ht="18" customHeight="1" x14ac:dyDescent="0.4">
      <c r="B144" s="113"/>
      <c r="C144" s="113"/>
      <c r="D144" s="100"/>
      <c r="E144" s="112" t="s">
        <v>54</v>
      </c>
      <c r="F144" s="112"/>
    </row>
    <row r="145" spans="1:6" ht="18" customHeight="1" x14ac:dyDescent="0.25">
      <c r="B145" s="33" t="s">
        <v>0</v>
      </c>
      <c r="C145" s="31"/>
      <c r="D145" s="101"/>
    </row>
    <row r="146" spans="1:6" ht="18" customHeight="1" x14ac:dyDescent="0.25">
      <c r="A146" s="31"/>
      <c r="B146" s="34" t="s">
        <v>41</v>
      </c>
      <c r="C146" s="31"/>
      <c r="D146" s="101"/>
    </row>
    <row r="147" spans="1:6" ht="18" customHeight="1" thickBot="1" x14ac:dyDescent="0.25">
      <c r="B147" s="1"/>
      <c r="C147" s="1"/>
      <c r="D147" s="102"/>
    </row>
    <row r="148" spans="1:6" ht="18" customHeight="1" x14ac:dyDescent="0.2">
      <c r="B148" s="114" t="s">
        <v>52</v>
      </c>
      <c r="C148" s="117" t="s">
        <v>48</v>
      </c>
      <c r="D148" s="124" t="s">
        <v>46</v>
      </c>
      <c r="E148" s="124" t="s">
        <v>44</v>
      </c>
      <c r="F148" s="124" t="s">
        <v>47</v>
      </c>
    </row>
    <row r="149" spans="1:6" ht="12.75" customHeight="1" thickBot="1" x14ac:dyDescent="0.25">
      <c r="B149" s="115"/>
      <c r="C149" s="118"/>
      <c r="D149" s="125"/>
      <c r="E149" s="125"/>
      <c r="F149" s="125"/>
    </row>
    <row r="150" spans="1:6" ht="6" hidden="1" customHeight="1" thickBot="1" x14ac:dyDescent="0.25">
      <c r="B150" s="116"/>
      <c r="C150" s="119"/>
      <c r="D150" s="126"/>
      <c r="E150" s="126"/>
      <c r="F150" s="126"/>
    </row>
    <row r="151" spans="1:6" ht="18" customHeight="1" x14ac:dyDescent="0.2">
      <c r="B151" s="122" t="s">
        <v>4</v>
      </c>
      <c r="C151" s="127">
        <f>SUM(C153:C159)</f>
        <v>8452938</v>
      </c>
      <c r="D151" s="127">
        <f>SUM(D153:D159)</f>
        <v>-776301.34000000008</v>
      </c>
      <c r="E151" s="127">
        <f>SUM(E153:E159)</f>
        <v>7676636.6600000001</v>
      </c>
      <c r="F151" s="127">
        <f>SUM(F153:F159)</f>
        <v>7676636.6600000001</v>
      </c>
    </row>
    <row r="152" spans="1:6" ht="7.5" customHeight="1" thickBot="1" x14ac:dyDescent="0.25">
      <c r="B152" s="123"/>
      <c r="C152" s="128"/>
      <c r="D152" s="128"/>
      <c r="E152" s="128"/>
      <c r="F152" s="128"/>
    </row>
    <row r="153" spans="1:6" ht="18" customHeight="1" x14ac:dyDescent="0.25">
      <c r="B153" s="14" t="s">
        <v>31</v>
      </c>
      <c r="C153" s="40">
        <v>7175916</v>
      </c>
      <c r="D153" s="40">
        <v>-582088.56000000006</v>
      </c>
      <c r="E153" s="40">
        <f t="shared" ref="E153:E157" si="9">C153+D153</f>
        <v>6593827.4399999995</v>
      </c>
      <c r="F153" s="40">
        <v>6593827.4400000004</v>
      </c>
    </row>
    <row r="154" spans="1:6" ht="18" customHeight="1" x14ac:dyDescent="0.25">
      <c r="B154" s="7" t="s">
        <v>32</v>
      </c>
      <c r="C154" s="40"/>
      <c r="D154" s="40"/>
      <c r="E154" s="40">
        <f t="shared" si="9"/>
        <v>0</v>
      </c>
      <c r="F154" s="40"/>
    </row>
    <row r="155" spans="1:6" ht="18" customHeight="1" x14ac:dyDescent="0.25">
      <c r="B155" s="7" t="s">
        <v>40</v>
      </c>
      <c r="C155" s="40"/>
      <c r="D155" s="40"/>
      <c r="E155" s="40">
        <f t="shared" si="9"/>
        <v>0</v>
      </c>
      <c r="F155" s="40"/>
    </row>
    <row r="156" spans="1:6" ht="18" customHeight="1" x14ac:dyDescent="0.25">
      <c r="B156" s="7" t="s">
        <v>33</v>
      </c>
      <c r="C156" s="40">
        <v>653250</v>
      </c>
      <c r="D156" s="40">
        <v>-106915.78</v>
      </c>
      <c r="E156" s="40">
        <f t="shared" si="9"/>
        <v>546334.22</v>
      </c>
      <c r="F156" s="40">
        <v>546334.22</v>
      </c>
    </row>
    <row r="157" spans="1:6" ht="18" customHeight="1" x14ac:dyDescent="0.25">
      <c r="B157" s="8" t="s">
        <v>34</v>
      </c>
      <c r="C157" s="40">
        <v>336858</v>
      </c>
      <c r="D157" s="40">
        <v>-9930.98</v>
      </c>
      <c r="E157" s="40">
        <f t="shared" si="9"/>
        <v>326927.02</v>
      </c>
      <c r="F157" s="40">
        <v>326927.02</v>
      </c>
    </row>
    <row r="158" spans="1:6" ht="18" customHeight="1" thickBot="1" x14ac:dyDescent="0.3">
      <c r="B158" s="23" t="s">
        <v>35</v>
      </c>
      <c r="C158" s="51"/>
      <c r="D158" s="40">
        <v>209547.98</v>
      </c>
      <c r="E158" s="40">
        <f t="shared" ref="E158:E159" si="10">C158+D158</f>
        <v>209547.98</v>
      </c>
      <c r="F158" s="51">
        <v>209547.98</v>
      </c>
    </row>
    <row r="159" spans="1:6" ht="18" customHeight="1" thickBot="1" x14ac:dyDescent="0.3">
      <c r="B159" s="23" t="s">
        <v>62</v>
      </c>
      <c r="C159" s="51">
        <v>286914</v>
      </c>
      <c r="D159" s="40">
        <v>-286914</v>
      </c>
      <c r="E159" s="40">
        <f t="shared" si="10"/>
        <v>0</v>
      </c>
      <c r="F159" s="51">
        <v>0</v>
      </c>
    </row>
    <row r="160" spans="1:6" ht="18" customHeight="1" x14ac:dyDescent="0.2">
      <c r="B160" s="164" t="s">
        <v>29</v>
      </c>
      <c r="C160" s="127">
        <f>C162+C167+C169+C175+C178+C181</f>
        <v>19199163</v>
      </c>
      <c r="D160" s="127">
        <f t="shared" ref="D160:F160" si="11">D162+D167+D169+D175+D178+D181</f>
        <v>-1235.7900000000227</v>
      </c>
      <c r="E160" s="127">
        <f t="shared" si="11"/>
        <v>19197927.210000005</v>
      </c>
      <c r="F160" s="127">
        <f t="shared" si="11"/>
        <v>19197927.210000005</v>
      </c>
    </row>
    <row r="161" spans="2:6" ht="6.75" customHeight="1" thickBot="1" x14ac:dyDescent="0.25">
      <c r="B161" s="165"/>
      <c r="C161" s="128"/>
      <c r="D161" s="128"/>
      <c r="E161" s="128"/>
      <c r="F161" s="128"/>
    </row>
    <row r="162" spans="2:6" ht="18" customHeight="1" x14ac:dyDescent="0.25">
      <c r="B162" s="6" t="s">
        <v>11</v>
      </c>
      <c r="C162" s="41">
        <f>SUM(C163:C166)</f>
        <v>1315440</v>
      </c>
      <c r="D162" s="41">
        <f>SUM(D163:D166)</f>
        <v>-13161.88</v>
      </c>
      <c r="E162" s="41">
        <f>SUM(E163:E166)</f>
        <v>1302278.1200000001</v>
      </c>
      <c r="F162" s="41">
        <f>SUM(F163:F166)</f>
        <v>1302278.1200000001</v>
      </c>
    </row>
    <row r="163" spans="2:6" ht="18" customHeight="1" x14ac:dyDescent="0.25">
      <c r="B163" s="7" t="s">
        <v>5</v>
      </c>
      <c r="C163" s="42">
        <v>656700</v>
      </c>
      <c r="D163" s="42">
        <v>-10073.42</v>
      </c>
      <c r="E163" s="42">
        <f>C163+D163</f>
        <v>646626.57999999996</v>
      </c>
      <c r="F163" s="42">
        <v>646626.57999999996</v>
      </c>
    </row>
    <row r="164" spans="2:6" ht="18" customHeight="1" x14ac:dyDescent="0.25">
      <c r="B164" s="7" t="s">
        <v>6</v>
      </c>
      <c r="C164" s="42">
        <v>469800</v>
      </c>
      <c r="D164" s="42">
        <v>48748.35</v>
      </c>
      <c r="E164" s="42">
        <f>C164+D164</f>
        <v>518548.35</v>
      </c>
      <c r="F164" s="42">
        <v>518548.35</v>
      </c>
    </row>
    <row r="165" spans="2:6" ht="18" customHeight="1" x14ac:dyDescent="0.25">
      <c r="B165" s="7" t="s">
        <v>7</v>
      </c>
      <c r="C165" s="42">
        <v>187140</v>
      </c>
      <c r="D165" s="42">
        <v>-51418.89</v>
      </c>
      <c r="E165" s="42">
        <f>C165+D165</f>
        <v>135721.10999999999</v>
      </c>
      <c r="F165" s="42">
        <v>135721.10999999999</v>
      </c>
    </row>
    <row r="166" spans="2:6" ht="18" customHeight="1" x14ac:dyDescent="0.25">
      <c r="B166" s="8" t="s">
        <v>8</v>
      </c>
      <c r="C166" s="42">
        <v>1800</v>
      </c>
      <c r="D166" s="42">
        <v>-417.92</v>
      </c>
      <c r="E166" s="42">
        <f>C166+D166</f>
        <v>1382.08</v>
      </c>
      <c r="F166" s="42">
        <v>1382.08</v>
      </c>
    </row>
    <row r="167" spans="2:6" ht="18" customHeight="1" x14ac:dyDescent="0.25">
      <c r="B167" s="9" t="s">
        <v>12</v>
      </c>
      <c r="C167" s="43">
        <f>SUM(C168)</f>
        <v>17273788</v>
      </c>
      <c r="D167" s="43">
        <f>SUM(D168)</f>
        <v>-14023.3</v>
      </c>
      <c r="E167" s="43">
        <f>SUM(E168)</f>
        <v>17259764.699999999</v>
      </c>
      <c r="F167" s="43">
        <f>SUM(F168)</f>
        <v>17259764.699999999</v>
      </c>
    </row>
    <row r="168" spans="2:6" ht="18" customHeight="1" x14ac:dyDescent="0.25">
      <c r="B168" s="10" t="s">
        <v>16</v>
      </c>
      <c r="C168" s="42">
        <v>17273788</v>
      </c>
      <c r="D168" s="42">
        <v>-14023.3</v>
      </c>
      <c r="E168" s="42">
        <f>C168+D168</f>
        <v>17259764.699999999</v>
      </c>
      <c r="F168" s="42">
        <v>17259764.699999999</v>
      </c>
    </row>
    <row r="169" spans="2:6" ht="18" customHeight="1" x14ac:dyDescent="0.25">
      <c r="B169" s="11" t="s">
        <v>21</v>
      </c>
      <c r="C169" s="44">
        <f>SUM(C170:C174)</f>
        <v>35535</v>
      </c>
      <c r="D169" s="44">
        <f>SUM(D170:D174)</f>
        <v>52007.919999999991</v>
      </c>
      <c r="E169" s="44">
        <f>SUM(E170:E174)</f>
        <v>87542.92</v>
      </c>
      <c r="F169" s="44">
        <f>SUM(F170:F174)</f>
        <v>87542.92</v>
      </c>
    </row>
    <row r="170" spans="2:6" ht="18" customHeight="1" x14ac:dyDescent="0.25">
      <c r="B170" s="8" t="s">
        <v>20</v>
      </c>
      <c r="C170" s="42">
        <v>23190</v>
      </c>
      <c r="D170" s="42">
        <v>10780.65</v>
      </c>
      <c r="E170" s="42">
        <f>C170+D170</f>
        <v>33970.65</v>
      </c>
      <c r="F170" s="42">
        <v>33970.65</v>
      </c>
    </row>
    <row r="171" spans="2:6" ht="18" customHeight="1" x14ac:dyDescent="0.25">
      <c r="B171" s="8" t="s">
        <v>30</v>
      </c>
      <c r="C171" s="42">
        <v>7285</v>
      </c>
      <c r="D171" s="42">
        <v>4664.29</v>
      </c>
      <c r="E171" s="42">
        <f>C171+D171</f>
        <v>11949.29</v>
      </c>
      <c r="F171" s="42">
        <v>11949.29</v>
      </c>
    </row>
    <row r="172" spans="2:6" ht="18" customHeight="1" x14ac:dyDescent="0.25">
      <c r="B172" s="8" t="s">
        <v>19</v>
      </c>
      <c r="C172" s="42"/>
      <c r="D172" s="42">
        <f>31762.17+4335.29</f>
        <v>36097.46</v>
      </c>
      <c r="E172" s="42">
        <f t="shared" ref="E172:E174" si="12">C172+D172</f>
        <v>36097.46</v>
      </c>
      <c r="F172" s="42">
        <f>4335.29+31762.17</f>
        <v>36097.46</v>
      </c>
    </row>
    <row r="173" spans="2:6" ht="18" customHeight="1" x14ac:dyDescent="0.25">
      <c r="B173" s="8" t="s">
        <v>17</v>
      </c>
      <c r="C173" s="42">
        <v>2860</v>
      </c>
      <c r="D173" s="42">
        <v>-132</v>
      </c>
      <c r="E173" s="42">
        <f t="shared" si="12"/>
        <v>2728</v>
      </c>
      <c r="F173" s="42">
        <v>2728</v>
      </c>
    </row>
    <row r="174" spans="2:6" ht="18" customHeight="1" x14ac:dyDescent="0.25">
      <c r="B174" s="8" t="s">
        <v>18</v>
      </c>
      <c r="C174" s="42">
        <v>2200</v>
      </c>
      <c r="D174" s="42">
        <v>597.52</v>
      </c>
      <c r="E174" s="42">
        <f t="shared" si="12"/>
        <v>2797.52</v>
      </c>
      <c r="F174" s="42">
        <v>2797.52</v>
      </c>
    </row>
    <row r="175" spans="2:6" ht="18" customHeight="1" x14ac:dyDescent="0.25">
      <c r="B175" s="11" t="s">
        <v>26</v>
      </c>
      <c r="C175" s="44">
        <f>SUM(C176:C177)</f>
        <v>261455</v>
      </c>
      <c r="D175" s="44">
        <f>SUM(D176:D177)</f>
        <v>-96883.81</v>
      </c>
      <c r="E175" s="44">
        <f>SUM(E176:E177)</f>
        <v>164571.19</v>
      </c>
      <c r="F175" s="44">
        <f>SUM(F176:F177)</f>
        <v>164571.19</v>
      </c>
    </row>
    <row r="176" spans="2:6" ht="18" customHeight="1" x14ac:dyDescent="0.25">
      <c r="B176" s="8" t="s">
        <v>27</v>
      </c>
      <c r="C176" s="42">
        <v>103275</v>
      </c>
      <c r="D176" s="42">
        <v>-74494.12</v>
      </c>
      <c r="E176" s="42">
        <f>C176+D176</f>
        <v>28780.880000000005</v>
      </c>
      <c r="F176" s="42">
        <v>28780.880000000001</v>
      </c>
    </row>
    <row r="177" spans="2:6" ht="18" customHeight="1" x14ac:dyDescent="0.25">
      <c r="B177" s="8" t="s">
        <v>28</v>
      </c>
      <c r="C177" s="42">
        <v>158180</v>
      </c>
      <c r="D177" s="42">
        <v>-22389.69</v>
      </c>
      <c r="E177" s="42">
        <f>C177+D177</f>
        <v>135790.31</v>
      </c>
      <c r="F177" s="42">
        <v>135790.31</v>
      </c>
    </row>
    <row r="178" spans="2:6" ht="18" customHeight="1" x14ac:dyDescent="0.25">
      <c r="B178" s="11" t="s">
        <v>13</v>
      </c>
      <c r="C178" s="44">
        <f>SUM(C179:C180)</f>
        <v>151740</v>
      </c>
      <c r="D178" s="44">
        <f t="shared" ref="D178:F178" si="13">SUM(D179:D180)</f>
        <v>-19018</v>
      </c>
      <c r="E178" s="44">
        <f t="shared" si="13"/>
        <v>132722</v>
      </c>
      <c r="F178" s="44">
        <f t="shared" si="13"/>
        <v>132722</v>
      </c>
    </row>
    <row r="179" spans="2:6" ht="18" customHeight="1" x14ac:dyDescent="0.25">
      <c r="B179" s="8" t="s">
        <v>9</v>
      </c>
      <c r="C179" s="42">
        <v>52920</v>
      </c>
      <c r="D179" s="42">
        <v>-2548</v>
      </c>
      <c r="E179" s="42">
        <f>C179+D179</f>
        <v>50372</v>
      </c>
      <c r="F179" s="42">
        <v>50372</v>
      </c>
    </row>
    <row r="180" spans="2:6" ht="18" customHeight="1" x14ac:dyDescent="0.25">
      <c r="B180" s="8" t="s">
        <v>10</v>
      </c>
      <c r="C180" s="42">
        <v>98820</v>
      </c>
      <c r="D180" s="42">
        <v>-16470</v>
      </c>
      <c r="E180" s="42">
        <f>C180+D180</f>
        <v>82350</v>
      </c>
      <c r="F180" s="42">
        <v>82350</v>
      </c>
    </row>
    <row r="181" spans="2:6" ht="18" customHeight="1" thickBot="1" x14ac:dyDescent="0.3">
      <c r="B181" s="15" t="s">
        <v>14</v>
      </c>
      <c r="C181" s="52">
        <f>4535+825+3000+3545+1230+15470+90440+690+15405+26065</f>
        <v>161205</v>
      </c>
      <c r="D181" s="52">
        <f>(361.83+1259.79+32762.14+19460.23+4237.01+2778.46+17721.59+63.5+1533.32+11246.7+12568.46+1407.34+21+970.87+52799+1490)-(1802.33+15470+26065+27439.64+60.99)</f>
        <v>89843.279999999984</v>
      </c>
      <c r="E181" s="45">
        <f>C181+D181</f>
        <v>251048.27999999997</v>
      </c>
      <c r="F181" s="52">
        <f>361.83+5794.79+32762.14+20285.23+4237.01+2778.46+17721.59+1197.67+3608.5+1533.32+11246.7+12568.46+2637.34+21+63000.36+629.01+970.87+68204+1490</f>
        <v>251048.28000000003</v>
      </c>
    </row>
    <row r="182" spans="2:6" ht="18" customHeight="1" thickBot="1" x14ac:dyDescent="0.35">
      <c r="B182" s="12" t="s">
        <v>22</v>
      </c>
      <c r="C182" s="46">
        <f>SUM(C183:C185)</f>
        <v>132985</v>
      </c>
      <c r="D182" s="46">
        <f>SUM(D183:D185)</f>
        <v>65370.09</v>
      </c>
      <c r="E182" s="46">
        <f>SUM(E183:E185)</f>
        <v>198355.09</v>
      </c>
      <c r="F182" s="46">
        <f>SUM(F183:F185)</f>
        <v>198355.09</v>
      </c>
    </row>
    <row r="183" spans="2:6" ht="18" customHeight="1" x14ac:dyDescent="0.25">
      <c r="B183" s="16" t="s">
        <v>15</v>
      </c>
      <c r="C183" s="47">
        <v>99900</v>
      </c>
      <c r="D183" s="47">
        <v>42486.59</v>
      </c>
      <c r="E183" s="47">
        <f>C183+D183</f>
        <v>142386.59</v>
      </c>
      <c r="F183" s="47">
        <v>142386.59</v>
      </c>
    </row>
    <row r="184" spans="2:6" ht="18" customHeight="1" x14ac:dyDescent="0.25">
      <c r="B184" s="16" t="s">
        <v>37</v>
      </c>
      <c r="C184" s="48"/>
      <c r="D184" s="48">
        <v>1469.4</v>
      </c>
      <c r="E184" s="47">
        <f t="shared" ref="E184:E185" si="14">C184+D184</f>
        <v>1469.4</v>
      </c>
      <c r="F184" s="48">
        <v>1469.4</v>
      </c>
    </row>
    <row r="185" spans="2:6" ht="18" customHeight="1" thickBot="1" x14ac:dyDescent="0.3">
      <c r="B185" s="17" t="s">
        <v>23</v>
      </c>
      <c r="C185" s="49">
        <v>33085</v>
      </c>
      <c r="D185" s="49">
        <v>21414.1</v>
      </c>
      <c r="E185" s="47">
        <f t="shared" si="14"/>
        <v>54499.1</v>
      </c>
      <c r="F185" s="49">
        <v>54499.1</v>
      </c>
    </row>
    <row r="186" spans="2:6" ht="18" customHeight="1" thickBot="1" x14ac:dyDescent="0.35">
      <c r="B186" s="12" t="s">
        <v>24</v>
      </c>
      <c r="C186" s="46">
        <f>SUM(C187)</f>
        <v>1600</v>
      </c>
      <c r="D186" s="46">
        <f>SUM(D187)</f>
        <v>372.62</v>
      </c>
      <c r="E186" s="46">
        <f>SUM(E187)</f>
        <v>1972.62</v>
      </c>
      <c r="F186" s="46">
        <f>SUM(F187)</f>
        <v>1972.62</v>
      </c>
    </row>
    <row r="187" spans="2:6" ht="18" customHeight="1" thickBot="1" x14ac:dyDescent="0.3">
      <c r="B187" s="18" t="s">
        <v>25</v>
      </c>
      <c r="C187" s="49">
        <v>1600</v>
      </c>
      <c r="D187" s="49">
        <v>372.62</v>
      </c>
      <c r="E187" s="49">
        <f>C187+D187</f>
        <v>1972.62</v>
      </c>
      <c r="F187" s="49">
        <v>1972.62</v>
      </c>
    </row>
    <row r="188" spans="2:6" ht="18" customHeight="1" thickBot="1" x14ac:dyDescent="0.35">
      <c r="B188" s="12" t="s">
        <v>38</v>
      </c>
      <c r="C188" s="46">
        <f>SUM(C189:C192)</f>
        <v>0</v>
      </c>
      <c r="D188" s="46">
        <f>SUM(D189:D192)</f>
        <v>0</v>
      </c>
      <c r="E188" s="46">
        <f>SUM(E189:E192)</f>
        <v>0</v>
      </c>
      <c r="F188" s="46">
        <f>SUM(F189:F192)</f>
        <v>0</v>
      </c>
    </row>
    <row r="189" spans="2:6" ht="18" customHeight="1" x14ac:dyDescent="0.25">
      <c r="B189" s="16" t="s">
        <v>42</v>
      </c>
      <c r="C189" s="50"/>
      <c r="D189" s="50"/>
      <c r="E189" s="47">
        <f t="shared" ref="E189:E192" si="15">C189+D189</f>
        <v>0</v>
      </c>
      <c r="F189" s="50"/>
    </row>
    <row r="190" spans="2:6" ht="18" customHeight="1" x14ac:dyDescent="0.25">
      <c r="B190" s="25" t="s">
        <v>45</v>
      </c>
      <c r="C190" s="47"/>
      <c r="D190" s="47"/>
      <c r="E190" s="47">
        <f t="shared" si="15"/>
        <v>0</v>
      </c>
      <c r="F190" s="47"/>
    </row>
    <row r="191" spans="2:6" ht="18" customHeight="1" x14ac:dyDescent="0.25">
      <c r="B191" s="25" t="s">
        <v>43</v>
      </c>
      <c r="C191" s="48"/>
      <c r="D191" s="48"/>
      <c r="E191" s="47">
        <f t="shared" si="15"/>
        <v>0</v>
      </c>
      <c r="F191" s="48"/>
    </row>
    <row r="192" spans="2:6" ht="18" customHeight="1" thickBot="1" x14ac:dyDescent="0.3">
      <c r="B192" s="16" t="s">
        <v>39</v>
      </c>
      <c r="C192" s="49"/>
      <c r="D192" s="49"/>
      <c r="E192" s="47">
        <f t="shared" si="15"/>
        <v>0</v>
      </c>
      <c r="F192" s="49"/>
    </row>
    <row r="193" spans="1:6" ht="18" customHeight="1" thickBot="1" x14ac:dyDescent="0.35">
      <c r="B193" s="13" t="s">
        <v>3</v>
      </c>
      <c r="C193" s="3">
        <f>SUM(C151+C160+C182+C186+C188)</f>
        <v>27786686</v>
      </c>
      <c r="D193" s="3">
        <f>SUM(D151+D160+D182+D186+D188)</f>
        <v>-711794.42000000016</v>
      </c>
      <c r="E193" s="3">
        <f>SUM(E151+E160+E182+E186+E188)</f>
        <v>27074891.580000006</v>
      </c>
      <c r="F193" s="3">
        <f>SUM(F151+F160+F182+F186+F188)</f>
        <v>27074891.580000006</v>
      </c>
    </row>
    <row r="195" spans="1:6" s="38" customFormat="1" ht="18" customHeight="1" x14ac:dyDescent="0.2">
      <c r="A195"/>
      <c r="B195" s="66" t="s">
        <v>63</v>
      </c>
      <c r="C195" s="67"/>
      <c r="E195"/>
    </row>
    <row r="196" spans="1:6" ht="18" customHeight="1" x14ac:dyDescent="0.2">
      <c r="B196" s="66" t="s">
        <v>66</v>
      </c>
      <c r="C196" s="66"/>
      <c r="E196"/>
    </row>
    <row r="197" spans="1:6" ht="12.75" customHeight="1" thickBot="1" x14ac:dyDescent="0.25">
      <c r="B197" s="1"/>
      <c r="C197" s="1"/>
      <c r="E197"/>
    </row>
    <row r="198" spans="1:6" ht="15.75" customHeight="1" x14ac:dyDescent="0.2">
      <c r="B198" s="114" t="s">
        <v>67</v>
      </c>
      <c r="C198" s="140" t="s">
        <v>68</v>
      </c>
      <c r="D198" s="124" t="s">
        <v>46</v>
      </c>
      <c r="E198" s="124" t="s">
        <v>44</v>
      </c>
      <c r="F198" s="124" t="s">
        <v>47</v>
      </c>
    </row>
    <row r="199" spans="1:6" ht="14.25" customHeight="1" x14ac:dyDescent="0.2">
      <c r="B199" s="115"/>
      <c r="C199" s="141"/>
      <c r="D199" s="125"/>
      <c r="E199" s="125"/>
      <c r="F199" s="125"/>
    </row>
    <row r="200" spans="1:6" ht="0.75" customHeight="1" thickBot="1" x14ac:dyDescent="0.25">
      <c r="B200" s="116"/>
      <c r="C200" s="141"/>
      <c r="D200" s="125"/>
      <c r="E200" s="125"/>
      <c r="F200" s="125"/>
    </row>
    <row r="201" spans="1:6" ht="16.5" customHeight="1" x14ac:dyDescent="0.2">
      <c r="B201" s="167"/>
      <c r="C201" s="157">
        <f>SUM(C203:C209)</f>
        <v>15103386</v>
      </c>
      <c r="D201" s="169">
        <f>SUM(D203:D209)</f>
        <v>-5645160.3599999994</v>
      </c>
      <c r="E201" s="157">
        <f>SUM(E203:E209)</f>
        <v>9458225.6400000006</v>
      </c>
      <c r="F201" s="157">
        <f>SUM(F203:F209)</f>
        <v>3867378.64</v>
      </c>
    </row>
    <row r="202" spans="1:6" ht="3.75" customHeight="1" thickBot="1" x14ac:dyDescent="0.25">
      <c r="B202" s="168"/>
      <c r="C202" s="157"/>
      <c r="D202" s="169"/>
      <c r="E202" s="157"/>
      <c r="F202" s="157"/>
    </row>
    <row r="203" spans="1:6" ht="27.75" customHeight="1" x14ac:dyDescent="0.2">
      <c r="B203" s="107" t="s">
        <v>72</v>
      </c>
      <c r="C203" s="74">
        <f>532569+4096675</f>
        <v>4629244</v>
      </c>
      <c r="D203" s="104">
        <f>-241463.15-1857399.21</f>
        <v>-2098862.36</v>
      </c>
      <c r="E203" s="74">
        <f>+C203+D203</f>
        <v>2530381.64</v>
      </c>
      <c r="F203" s="74">
        <f>291105.85+2239275.79</f>
        <v>2530381.64</v>
      </c>
    </row>
    <row r="204" spans="1:6" ht="23.25" customHeight="1" x14ac:dyDescent="0.2">
      <c r="B204" s="108" t="s">
        <v>73</v>
      </c>
      <c r="C204" s="74">
        <f>226200+1740000</f>
        <v>1966200</v>
      </c>
      <c r="D204" s="104">
        <v>0</v>
      </c>
      <c r="E204" s="74">
        <f t="shared" ref="E204:E209" si="16">+C204+D204</f>
        <v>1966200</v>
      </c>
      <c r="F204" s="76"/>
    </row>
    <row r="205" spans="1:6" ht="21" customHeight="1" x14ac:dyDescent="0.2">
      <c r="B205" s="109" t="s">
        <v>74</v>
      </c>
      <c r="C205" s="74">
        <f>385524+2965559</f>
        <v>3351083</v>
      </c>
      <c r="D205" s="104">
        <f>-385524-2965559</f>
        <v>-3351083</v>
      </c>
      <c r="E205" s="74">
        <f t="shared" si="16"/>
        <v>0</v>
      </c>
      <c r="F205" s="76"/>
    </row>
    <row r="206" spans="1:6" ht="29.25" customHeight="1" x14ac:dyDescent="0.2">
      <c r="B206" s="109" t="s">
        <v>75</v>
      </c>
      <c r="C206" s="74">
        <f>278097+2139195</f>
        <v>2417292</v>
      </c>
      <c r="D206" s="104">
        <v>0</v>
      </c>
      <c r="E206" s="74">
        <f t="shared" si="16"/>
        <v>2417292</v>
      </c>
      <c r="F206" s="76"/>
    </row>
    <row r="207" spans="1:6" ht="28.5" customHeight="1" x14ac:dyDescent="0.2">
      <c r="B207" s="109" t="s">
        <v>76</v>
      </c>
      <c r="C207" s="74">
        <f>173810+1336997</f>
        <v>1510807</v>
      </c>
      <c r="D207" s="104">
        <v>-173810</v>
      </c>
      <c r="E207" s="74">
        <f t="shared" si="16"/>
        <v>1336997</v>
      </c>
      <c r="F207" s="74">
        <v>1336997</v>
      </c>
    </row>
    <row r="208" spans="1:6" ht="28.5" customHeight="1" x14ac:dyDescent="0.2">
      <c r="B208" s="109" t="s">
        <v>77</v>
      </c>
      <c r="C208" s="74">
        <f>111770+859770</f>
        <v>971540</v>
      </c>
      <c r="D208" s="104">
        <v>0</v>
      </c>
      <c r="E208" s="74">
        <f t="shared" si="16"/>
        <v>971540</v>
      </c>
      <c r="F208" s="76"/>
    </row>
    <row r="209" spans="1:6" ht="24.75" customHeight="1" thickBot="1" x14ac:dyDescent="0.25">
      <c r="B209" s="110" t="s">
        <v>78</v>
      </c>
      <c r="C209" s="74">
        <f>29580+227640</f>
        <v>257220</v>
      </c>
      <c r="D209" s="104">
        <f>-2465-18940</f>
        <v>-21405</v>
      </c>
      <c r="E209" s="74">
        <f t="shared" si="16"/>
        <v>235815</v>
      </c>
      <c r="F209" s="76"/>
    </row>
    <row r="210" spans="1:6" ht="14.25" customHeight="1" x14ac:dyDescent="0.25">
      <c r="B210" s="95" t="s">
        <v>80</v>
      </c>
      <c r="E210"/>
    </row>
    <row r="211" spans="1:6" ht="18" customHeight="1" x14ac:dyDescent="0.2">
      <c r="A211" s="2" t="s">
        <v>36</v>
      </c>
      <c r="B211" s="2"/>
    </row>
    <row r="212" spans="1:6" ht="18" customHeight="1" x14ac:dyDescent="0.2">
      <c r="A212" s="2" t="s">
        <v>1</v>
      </c>
      <c r="B212" s="2"/>
    </row>
    <row r="213" spans="1:6" ht="18" customHeight="1" x14ac:dyDescent="0.2">
      <c r="A213" s="2" t="s">
        <v>2</v>
      </c>
      <c r="B213" s="2"/>
    </row>
    <row r="214" spans="1:6" ht="18" customHeight="1" x14ac:dyDescent="0.2">
      <c r="B214" s="2"/>
    </row>
    <row r="215" spans="1:6" ht="18" customHeight="1" x14ac:dyDescent="0.35">
      <c r="A215" s="32" t="s">
        <v>59</v>
      </c>
      <c r="B215" s="32"/>
      <c r="C215" s="32"/>
      <c r="D215" s="39"/>
      <c r="E215" s="39"/>
    </row>
    <row r="216" spans="1:6" ht="18" customHeight="1" x14ac:dyDescent="0.35">
      <c r="A216" s="112" t="s">
        <v>51</v>
      </c>
      <c r="B216" s="112"/>
      <c r="C216" s="112"/>
      <c r="D216" s="112"/>
      <c r="E216" s="112"/>
    </row>
    <row r="217" spans="1:6" ht="18" customHeight="1" x14ac:dyDescent="0.4">
      <c r="B217" s="113"/>
      <c r="C217" s="113"/>
      <c r="D217" s="100"/>
      <c r="E217" s="112" t="s">
        <v>55</v>
      </c>
      <c r="F217" s="112"/>
    </row>
    <row r="218" spans="1:6" ht="18" customHeight="1" x14ac:dyDescent="0.25">
      <c r="B218" s="33" t="s">
        <v>0</v>
      </c>
      <c r="C218" s="31"/>
      <c r="D218" s="101"/>
    </row>
    <row r="219" spans="1:6" ht="18" customHeight="1" x14ac:dyDescent="0.25">
      <c r="A219" s="31"/>
      <c r="B219" s="34" t="s">
        <v>41</v>
      </c>
      <c r="C219" s="31"/>
      <c r="D219" s="101"/>
    </row>
    <row r="220" spans="1:6" ht="18" customHeight="1" thickBot="1" x14ac:dyDescent="0.25">
      <c r="B220" s="1"/>
      <c r="C220" s="1"/>
      <c r="D220" s="102"/>
    </row>
    <row r="221" spans="1:6" ht="18" customHeight="1" x14ac:dyDescent="0.2">
      <c r="B221" s="114" t="s">
        <v>52</v>
      </c>
      <c r="C221" s="124" t="s">
        <v>48</v>
      </c>
      <c r="D221" s="124" t="s">
        <v>46</v>
      </c>
      <c r="E221" s="124" t="s">
        <v>44</v>
      </c>
      <c r="F221" s="124" t="s">
        <v>47</v>
      </c>
    </row>
    <row r="222" spans="1:6" ht="17.25" customHeight="1" thickBot="1" x14ac:dyDescent="0.25">
      <c r="B222" s="115"/>
      <c r="C222" s="125"/>
      <c r="D222" s="125"/>
      <c r="E222" s="125"/>
      <c r="F222" s="125"/>
    </row>
    <row r="223" spans="1:6" ht="18" hidden="1" customHeight="1" thickBot="1" x14ac:dyDescent="0.25">
      <c r="B223" s="116"/>
      <c r="C223" s="126"/>
      <c r="D223" s="126"/>
      <c r="E223" s="126"/>
      <c r="F223" s="126"/>
    </row>
    <row r="224" spans="1:6" ht="18" customHeight="1" x14ac:dyDescent="0.2">
      <c r="B224" s="122" t="s">
        <v>4</v>
      </c>
      <c r="C224" s="127">
        <f>SUM(C226:C232)</f>
        <v>12679407</v>
      </c>
      <c r="D224" s="127">
        <f>SUM(D226:D232)</f>
        <v>-1138270.2000000002</v>
      </c>
      <c r="E224" s="127">
        <f>SUM(E226:E232)</f>
        <v>11541136.800000001</v>
      </c>
      <c r="F224" s="127">
        <f>SUM(F226:F232)</f>
        <v>11541004.110000001</v>
      </c>
    </row>
    <row r="225" spans="2:6" ht="6" customHeight="1" thickBot="1" x14ac:dyDescent="0.25">
      <c r="B225" s="123"/>
      <c r="C225" s="128"/>
      <c r="D225" s="128"/>
      <c r="E225" s="128"/>
      <c r="F225" s="128"/>
    </row>
    <row r="226" spans="2:6" ht="18" customHeight="1" x14ac:dyDescent="0.25">
      <c r="B226" s="14" t="s">
        <v>31</v>
      </c>
      <c r="C226" s="40">
        <v>10763874</v>
      </c>
      <c r="D226" s="40">
        <v>-888769.7</v>
      </c>
      <c r="E226" s="40">
        <f t="shared" ref="E226:E232" si="17">C226+D226</f>
        <v>9875104.3000000007</v>
      </c>
      <c r="F226" s="40">
        <v>9875104.3000000007</v>
      </c>
    </row>
    <row r="227" spans="2:6" ht="18" customHeight="1" x14ac:dyDescent="0.25">
      <c r="B227" s="7" t="s">
        <v>32</v>
      </c>
      <c r="C227" s="40"/>
      <c r="D227" s="40"/>
      <c r="E227" s="40">
        <f t="shared" si="17"/>
        <v>0</v>
      </c>
      <c r="F227" s="40"/>
    </row>
    <row r="228" spans="2:6" ht="18" customHeight="1" x14ac:dyDescent="0.25">
      <c r="B228" s="7" t="s">
        <v>40</v>
      </c>
      <c r="C228" s="40"/>
      <c r="D228" s="40"/>
      <c r="E228" s="40">
        <f t="shared" si="17"/>
        <v>0</v>
      </c>
      <c r="F228" s="40"/>
    </row>
    <row r="229" spans="2:6" ht="18" customHeight="1" x14ac:dyDescent="0.25">
      <c r="B229" s="7" t="s">
        <v>33</v>
      </c>
      <c r="C229" s="40">
        <v>979875</v>
      </c>
      <c r="D229" s="40">
        <v>-157115.25</v>
      </c>
      <c r="E229" s="40">
        <f t="shared" si="17"/>
        <v>822759.75</v>
      </c>
      <c r="F229" s="40">
        <v>822627.06</v>
      </c>
    </row>
    <row r="230" spans="2:6" ht="18" customHeight="1" x14ac:dyDescent="0.25">
      <c r="B230" s="8" t="s">
        <v>34</v>
      </c>
      <c r="C230" s="40">
        <v>505287</v>
      </c>
      <c r="D230" s="40">
        <v>-15293.61</v>
      </c>
      <c r="E230" s="40">
        <f t="shared" si="17"/>
        <v>489993.39</v>
      </c>
      <c r="F230" s="40">
        <v>489993.39</v>
      </c>
    </row>
    <row r="231" spans="2:6" ht="18" customHeight="1" x14ac:dyDescent="0.25">
      <c r="B231" s="17" t="s">
        <v>62</v>
      </c>
      <c r="C231" s="60">
        <v>430371</v>
      </c>
      <c r="D231" s="60">
        <v>-430371</v>
      </c>
      <c r="E231" s="40">
        <f t="shared" si="17"/>
        <v>0</v>
      </c>
      <c r="F231" s="61">
        <v>0</v>
      </c>
    </row>
    <row r="232" spans="2:6" ht="18" customHeight="1" thickBot="1" x14ac:dyDescent="0.3">
      <c r="B232" s="65" t="s">
        <v>35</v>
      </c>
      <c r="C232" s="60"/>
      <c r="D232" s="60">
        <v>353279.36</v>
      </c>
      <c r="E232" s="40">
        <f t="shared" si="17"/>
        <v>353279.36</v>
      </c>
      <c r="F232" s="51">
        <v>353279.36</v>
      </c>
    </row>
    <row r="233" spans="2:6" ht="18" customHeight="1" x14ac:dyDescent="0.2">
      <c r="B233" s="164" t="s">
        <v>29</v>
      </c>
      <c r="C233" s="166">
        <f>C235+C240+C242+C248+C251+C254</f>
        <v>26511335</v>
      </c>
      <c r="D233" s="166">
        <f t="shared" ref="D233:F233" si="18">D235+D240+D242+D248+D251+D254</f>
        <v>-1505798.9</v>
      </c>
      <c r="E233" s="127">
        <f t="shared" si="18"/>
        <v>25005536.099999998</v>
      </c>
      <c r="F233" s="127">
        <f t="shared" si="18"/>
        <v>25005536.099999998</v>
      </c>
    </row>
    <row r="234" spans="2:6" ht="6.75" customHeight="1" thickBot="1" x14ac:dyDescent="0.25">
      <c r="B234" s="165"/>
      <c r="C234" s="128"/>
      <c r="D234" s="128"/>
      <c r="E234" s="128"/>
      <c r="F234" s="128"/>
    </row>
    <row r="235" spans="2:6" ht="18" customHeight="1" x14ac:dyDescent="0.25">
      <c r="B235" s="6" t="s">
        <v>11</v>
      </c>
      <c r="C235" s="41">
        <f>SUM(C236:C239)</f>
        <v>1949055</v>
      </c>
      <c r="D235" s="41">
        <f>SUM(D236:D239)</f>
        <v>-27922.890000000007</v>
      </c>
      <c r="E235" s="41">
        <f>SUM(E236:E239)</f>
        <v>1921132.1099999999</v>
      </c>
      <c r="F235" s="41">
        <f>SUM(F236:F239)</f>
        <v>1921132.1099999999</v>
      </c>
    </row>
    <row r="236" spans="2:6" ht="18" customHeight="1" x14ac:dyDescent="0.25">
      <c r="B236" s="7" t="s">
        <v>5</v>
      </c>
      <c r="C236" s="42">
        <v>985050</v>
      </c>
      <c r="D236" s="42">
        <v>-88667.41</v>
      </c>
      <c r="E236" s="42">
        <f>C236+D236</f>
        <v>896382.59</v>
      </c>
      <c r="F236" s="42">
        <v>896382.59</v>
      </c>
    </row>
    <row r="237" spans="2:6" ht="18" customHeight="1" x14ac:dyDescent="0.25">
      <c r="B237" s="7" t="s">
        <v>6</v>
      </c>
      <c r="C237" s="42">
        <v>704700</v>
      </c>
      <c r="D237" s="42">
        <v>54660.27</v>
      </c>
      <c r="E237" s="42">
        <f>C237+D237</f>
        <v>759360.27</v>
      </c>
      <c r="F237" s="42">
        <v>759360.27</v>
      </c>
    </row>
    <row r="238" spans="2:6" ht="18" customHeight="1" x14ac:dyDescent="0.25">
      <c r="B238" s="7" t="s">
        <v>7</v>
      </c>
      <c r="C238" s="42">
        <v>256605</v>
      </c>
      <c r="D238" s="42">
        <v>6451.59</v>
      </c>
      <c r="E238" s="42">
        <f>C238+D238</f>
        <v>263056.59000000003</v>
      </c>
      <c r="F238" s="42">
        <v>263056.59000000003</v>
      </c>
    </row>
    <row r="239" spans="2:6" ht="18" customHeight="1" x14ac:dyDescent="0.25">
      <c r="B239" s="8" t="s">
        <v>8</v>
      </c>
      <c r="C239" s="42">
        <v>2700</v>
      </c>
      <c r="D239" s="42">
        <v>-367.34</v>
      </c>
      <c r="E239" s="42">
        <f>C239+D239</f>
        <v>2332.66</v>
      </c>
      <c r="F239" s="42">
        <v>2332.66</v>
      </c>
    </row>
    <row r="240" spans="2:6" ht="18" customHeight="1" x14ac:dyDescent="0.25">
      <c r="B240" s="9" t="s">
        <v>12</v>
      </c>
      <c r="C240" s="43">
        <f>SUM(C241)</f>
        <v>23124250</v>
      </c>
      <c r="D240" s="43">
        <f>SUM(D241)</f>
        <v>-1480105.3</v>
      </c>
      <c r="E240" s="43">
        <f>SUM(E241)</f>
        <v>21644144.699999999</v>
      </c>
      <c r="F240" s="43">
        <f>SUM(F241)</f>
        <v>21644144.699999999</v>
      </c>
    </row>
    <row r="241" spans="2:6" ht="18" customHeight="1" x14ac:dyDescent="0.25">
      <c r="B241" s="10" t="s">
        <v>16</v>
      </c>
      <c r="C241" s="42">
        <v>23124250</v>
      </c>
      <c r="D241" s="42">
        <v>-1480105.3</v>
      </c>
      <c r="E241" s="42">
        <f>C241+D241</f>
        <v>21644144.699999999</v>
      </c>
      <c r="F241" s="42">
        <v>21644144.699999999</v>
      </c>
    </row>
    <row r="242" spans="2:6" ht="18" customHeight="1" x14ac:dyDescent="0.25">
      <c r="B242" s="11" t="s">
        <v>21</v>
      </c>
      <c r="C242" s="44">
        <f>SUM(C243:C247)</f>
        <v>602285</v>
      </c>
      <c r="D242" s="44">
        <f>SUM(D243:D247)</f>
        <v>-30909.190000000002</v>
      </c>
      <c r="E242" s="44">
        <f>SUM(E243:E247)</f>
        <v>571375.81000000006</v>
      </c>
      <c r="F242" s="44">
        <f>SUM(F243:F247)</f>
        <v>571375.81000000006</v>
      </c>
    </row>
    <row r="243" spans="2:6" ht="18" customHeight="1" x14ac:dyDescent="0.25">
      <c r="B243" s="8" t="s">
        <v>20</v>
      </c>
      <c r="C243" s="42">
        <v>24630</v>
      </c>
      <c r="D243" s="42">
        <v>29878.15</v>
      </c>
      <c r="E243" s="42">
        <f>C243+D243</f>
        <v>54508.15</v>
      </c>
      <c r="F243" s="42">
        <v>54508.15</v>
      </c>
    </row>
    <row r="244" spans="2:6" ht="18" customHeight="1" x14ac:dyDescent="0.25">
      <c r="B244" s="8" t="s">
        <v>30</v>
      </c>
      <c r="C244" s="42">
        <v>32190</v>
      </c>
      <c r="D244" s="42">
        <v>11794.32</v>
      </c>
      <c r="E244" s="42">
        <f>C244+D244</f>
        <v>43984.32</v>
      </c>
      <c r="F244" s="42">
        <v>43984.32</v>
      </c>
    </row>
    <row r="245" spans="2:6" ht="18" customHeight="1" x14ac:dyDescent="0.25">
      <c r="B245" s="8" t="s">
        <v>19</v>
      </c>
      <c r="C245" s="42">
        <f>16865+128010</f>
        <v>144875</v>
      </c>
      <c r="D245" s="42">
        <f>1495.39+22297.17</f>
        <v>23792.559999999998</v>
      </c>
      <c r="E245" s="42">
        <f t="shared" ref="E245:E247" si="19">C245+D245</f>
        <v>168667.56</v>
      </c>
      <c r="F245" s="42">
        <f>39162.17+129505.39</f>
        <v>168667.56</v>
      </c>
    </row>
    <row r="246" spans="2:6" ht="18" customHeight="1" x14ac:dyDescent="0.25">
      <c r="B246" s="8" t="s">
        <v>17</v>
      </c>
      <c r="C246" s="42">
        <v>325565</v>
      </c>
      <c r="D246" s="42">
        <v>-24669.99</v>
      </c>
      <c r="E246" s="42">
        <f t="shared" si="19"/>
        <v>300895.01</v>
      </c>
      <c r="F246" s="42">
        <v>300895.01</v>
      </c>
    </row>
    <row r="247" spans="2:6" ht="18" customHeight="1" x14ac:dyDescent="0.25">
      <c r="B247" s="8" t="s">
        <v>18</v>
      </c>
      <c r="C247" s="42">
        <v>75025</v>
      </c>
      <c r="D247" s="42">
        <v>-71704.23</v>
      </c>
      <c r="E247" s="42">
        <f t="shared" si="19"/>
        <v>3320.7700000000041</v>
      </c>
      <c r="F247" s="42">
        <v>3320.77</v>
      </c>
    </row>
    <row r="248" spans="2:6" ht="18" customHeight="1" x14ac:dyDescent="0.25">
      <c r="B248" s="11" t="s">
        <v>26</v>
      </c>
      <c r="C248" s="44">
        <f>SUM(C249:C250)</f>
        <v>392170</v>
      </c>
      <c r="D248" s="44">
        <f>SUM(D249:D250)</f>
        <v>-106212.72</v>
      </c>
      <c r="E248" s="44">
        <f>SUM(E249:E250)</f>
        <v>285957.28000000003</v>
      </c>
      <c r="F248" s="44">
        <f>SUM(F249:F250)</f>
        <v>285957.28000000003</v>
      </c>
    </row>
    <row r="249" spans="2:6" ht="18" customHeight="1" x14ac:dyDescent="0.25">
      <c r="B249" s="8" t="s">
        <v>27</v>
      </c>
      <c r="C249" s="42">
        <v>154910</v>
      </c>
      <c r="D249" s="42">
        <v>-102243.97</v>
      </c>
      <c r="E249" s="42">
        <f>C249+D249</f>
        <v>52666.03</v>
      </c>
      <c r="F249" s="42">
        <v>52666.03</v>
      </c>
    </row>
    <row r="250" spans="2:6" ht="18" customHeight="1" x14ac:dyDescent="0.25">
      <c r="B250" s="8" t="s">
        <v>28</v>
      </c>
      <c r="C250" s="42">
        <v>237260</v>
      </c>
      <c r="D250" s="42">
        <v>-3968.75</v>
      </c>
      <c r="E250" s="42">
        <f>C250+D250</f>
        <v>233291.25</v>
      </c>
      <c r="F250" s="42">
        <v>233291.25</v>
      </c>
    </row>
    <row r="251" spans="2:6" ht="18" customHeight="1" x14ac:dyDescent="0.25">
      <c r="B251" s="11" t="s">
        <v>13</v>
      </c>
      <c r="C251" s="44">
        <f>SUM(C252:C253)</f>
        <v>227610</v>
      </c>
      <c r="D251" s="44">
        <f>SUM(D252:D253)</f>
        <v>-30386</v>
      </c>
      <c r="E251" s="44">
        <f>SUM(E252:E253)</f>
        <v>197224</v>
      </c>
      <c r="F251" s="44">
        <f>SUM(F252:F253)</f>
        <v>197224</v>
      </c>
    </row>
    <row r="252" spans="2:6" ht="18" customHeight="1" x14ac:dyDescent="0.25">
      <c r="B252" s="8" t="s">
        <v>9</v>
      </c>
      <c r="C252" s="42">
        <v>79380</v>
      </c>
      <c r="D252" s="42">
        <v>-13916</v>
      </c>
      <c r="E252" s="42">
        <f>C252+D252</f>
        <v>65464</v>
      </c>
      <c r="F252" s="42">
        <v>65464</v>
      </c>
    </row>
    <row r="253" spans="2:6" ht="18" customHeight="1" x14ac:dyDescent="0.25">
      <c r="B253" s="8" t="s">
        <v>10</v>
      </c>
      <c r="C253" s="42">
        <v>148230</v>
      </c>
      <c r="D253" s="42">
        <v>-16470</v>
      </c>
      <c r="E253" s="42">
        <f>C253+D253</f>
        <v>131760</v>
      </c>
      <c r="F253" s="42">
        <v>131760</v>
      </c>
    </row>
    <row r="254" spans="2:6" ht="18" customHeight="1" thickBot="1" x14ac:dyDescent="0.3">
      <c r="B254" s="15" t="s">
        <v>14</v>
      </c>
      <c r="C254" s="52">
        <f>4535+8440+32595+3000+3545+1895+1640+23195+26065+94615+1035+15405</f>
        <v>215965</v>
      </c>
      <c r="D254" s="52">
        <f>(361.83+714.84+1421.22+33018.14+23574.52+11644.36+35900.36+1337.43+437.25+5319.5+3199.56+16798.35+12719.99+1113.77+21+970.87+94393+1490)-(2422.57+23195+25914.07+22937.81+229.34)</f>
        <v>169737.19999999995</v>
      </c>
      <c r="E254" s="42">
        <f>C254+D254</f>
        <v>385702.19999999995</v>
      </c>
      <c r="F254" s="59">
        <f>361.83+714.84+5956.22+33018.14+32014.52+30172.43+11644.36+35900.36+4337.43+3982.25+5319.5+3199.56+16798.35+14614.99+2753.77+21+150.93+71677.19+805.66+970.87+109798+1490</f>
        <v>385702.19999999995</v>
      </c>
    </row>
    <row r="255" spans="2:6" ht="18" customHeight="1" thickBot="1" x14ac:dyDescent="0.35">
      <c r="B255" s="12" t="s">
        <v>22</v>
      </c>
      <c r="C255" s="46">
        <f>SUM(C256:C258)</f>
        <v>169912</v>
      </c>
      <c r="D255" s="46">
        <f>SUM(D256:D258)</f>
        <v>99956.93</v>
      </c>
      <c r="E255" s="46">
        <f>SUM(E256:E258)</f>
        <v>269868.93</v>
      </c>
      <c r="F255" s="46">
        <f>SUM(F256:F258)</f>
        <v>269868.93</v>
      </c>
    </row>
    <row r="256" spans="2:6" ht="18" customHeight="1" x14ac:dyDescent="0.25">
      <c r="B256" s="16" t="s">
        <v>15</v>
      </c>
      <c r="C256" s="47">
        <v>136827</v>
      </c>
      <c r="D256" s="47">
        <v>50813.14</v>
      </c>
      <c r="E256" s="47">
        <f>C256+D256</f>
        <v>187640.14</v>
      </c>
      <c r="F256" s="47">
        <v>187640.14</v>
      </c>
    </row>
    <row r="257" spans="2:6" ht="18" customHeight="1" x14ac:dyDescent="0.25">
      <c r="B257" s="16" t="s">
        <v>37</v>
      </c>
      <c r="C257" s="48"/>
      <c r="D257" s="48">
        <v>1469.4</v>
      </c>
      <c r="E257" s="47">
        <f>C257+D257</f>
        <v>1469.4</v>
      </c>
      <c r="F257" s="48">
        <v>1469.4</v>
      </c>
    </row>
    <row r="258" spans="2:6" ht="18" customHeight="1" thickBot="1" x14ac:dyDescent="0.3">
      <c r="B258" s="17" t="s">
        <v>23</v>
      </c>
      <c r="C258" s="49">
        <v>33085</v>
      </c>
      <c r="D258" s="49">
        <v>47674.39</v>
      </c>
      <c r="E258" s="49">
        <f>C258+D258</f>
        <v>80759.39</v>
      </c>
      <c r="F258" s="49">
        <v>80759.39</v>
      </c>
    </row>
    <row r="259" spans="2:6" ht="18" customHeight="1" thickBot="1" x14ac:dyDescent="0.35">
      <c r="B259" s="12" t="s">
        <v>24</v>
      </c>
      <c r="C259" s="46">
        <f>SUM(C260)</f>
        <v>3200</v>
      </c>
      <c r="D259" s="46">
        <f>SUM(D260)</f>
        <v>1645.82</v>
      </c>
      <c r="E259" s="46">
        <f>SUM(E260)</f>
        <v>4845.82</v>
      </c>
      <c r="F259" s="46">
        <f>SUM(F260)</f>
        <v>4845.82</v>
      </c>
    </row>
    <row r="260" spans="2:6" ht="18" customHeight="1" thickBot="1" x14ac:dyDescent="0.3">
      <c r="B260" s="18" t="s">
        <v>25</v>
      </c>
      <c r="C260" s="49">
        <v>3200</v>
      </c>
      <c r="D260" s="49">
        <v>1645.82</v>
      </c>
      <c r="E260" s="49">
        <f>C260+D260</f>
        <v>4845.82</v>
      </c>
      <c r="F260" s="49">
        <v>4845.82</v>
      </c>
    </row>
    <row r="261" spans="2:6" ht="18" customHeight="1" thickBot="1" x14ac:dyDescent="0.35">
      <c r="B261" s="12" t="s">
        <v>38</v>
      </c>
      <c r="C261" s="46">
        <f>SUM(C262:C265)</f>
        <v>0</v>
      </c>
      <c r="D261" s="46">
        <f t="shared" ref="D261:F261" si="20">SUM(D262:D265)</f>
        <v>35805</v>
      </c>
      <c r="E261" s="46">
        <f t="shared" si="20"/>
        <v>35805</v>
      </c>
      <c r="F261" s="46">
        <f t="shared" si="20"/>
        <v>35805</v>
      </c>
    </row>
    <row r="262" spans="2:6" ht="18" customHeight="1" x14ac:dyDescent="0.25">
      <c r="B262" s="16" t="s">
        <v>42</v>
      </c>
      <c r="C262" s="50"/>
      <c r="D262" s="50">
        <f>32340+2620</f>
        <v>34960</v>
      </c>
      <c r="E262" s="47">
        <f t="shared" ref="E262:E265" si="21">C262+D262</f>
        <v>34960</v>
      </c>
      <c r="F262" s="50">
        <f>32340+2620</f>
        <v>34960</v>
      </c>
    </row>
    <row r="263" spans="2:6" ht="18" customHeight="1" x14ac:dyDescent="0.25">
      <c r="B263" s="25" t="s">
        <v>45</v>
      </c>
      <c r="C263" s="47"/>
      <c r="D263" s="47">
        <v>845</v>
      </c>
      <c r="E263" s="47">
        <f t="shared" si="21"/>
        <v>845</v>
      </c>
      <c r="F263" s="47">
        <v>845</v>
      </c>
    </row>
    <row r="264" spans="2:6" ht="18" customHeight="1" x14ac:dyDescent="0.25">
      <c r="B264" s="25" t="s">
        <v>43</v>
      </c>
      <c r="C264" s="48"/>
      <c r="D264" s="48"/>
      <c r="E264" s="47">
        <f t="shared" si="21"/>
        <v>0</v>
      </c>
      <c r="F264" s="48"/>
    </row>
    <row r="265" spans="2:6" ht="18" customHeight="1" thickBot="1" x14ac:dyDescent="0.3">
      <c r="B265" s="16" t="s">
        <v>39</v>
      </c>
      <c r="C265" s="49"/>
      <c r="D265" s="49"/>
      <c r="E265" s="47">
        <f t="shared" si="21"/>
        <v>0</v>
      </c>
      <c r="F265" s="49"/>
    </row>
    <row r="266" spans="2:6" ht="18" customHeight="1" thickBot="1" x14ac:dyDescent="0.35">
      <c r="B266" s="13" t="s">
        <v>3</v>
      </c>
      <c r="C266" s="3">
        <f>SUM(C224+C233+C255+C259+C261)</f>
        <v>39363854</v>
      </c>
      <c r="D266" s="3">
        <f>SUM(D224+D233+D255+D259+D261)</f>
        <v>-2506661.35</v>
      </c>
      <c r="E266" s="3">
        <f>SUM(E224+E233+E255+E259+E261)</f>
        <v>36857192.649999999</v>
      </c>
      <c r="F266" s="3">
        <f>SUM(F224+F233+F255+F259+F261)</f>
        <v>36857059.960000001</v>
      </c>
    </row>
    <row r="268" spans="2:6" ht="18" customHeight="1" x14ac:dyDescent="0.2">
      <c r="B268" s="66" t="s">
        <v>63</v>
      </c>
      <c r="C268" s="67"/>
      <c r="E268"/>
    </row>
    <row r="269" spans="2:6" ht="18" customHeight="1" thickBot="1" x14ac:dyDescent="0.25">
      <c r="B269" s="66" t="s">
        <v>66</v>
      </c>
      <c r="C269" s="66"/>
      <c r="E269"/>
    </row>
    <row r="270" spans="2:6" ht="18" customHeight="1" x14ac:dyDescent="0.2">
      <c r="B270" s="114" t="s">
        <v>67</v>
      </c>
      <c r="C270" s="140" t="s">
        <v>68</v>
      </c>
      <c r="D270" s="124" t="s">
        <v>46</v>
      </c>
      <c r="E270" s="124" t="s">
        <v>44</v>
      </c>
      <c r="F270" s="124" t="s">
        <v>47</v>
      </c>
    </row>
    <row r="271" spans="2:6" ht="6" customHeight="1" x14ac:dyDescent="0.2">
      <c r="B271" s="115"/>
      <c r="C271" s="141"/>
      <c r="D271" s="125"/>
      <c r="E271" s="125"/>
      <c r="F271" s="125"/>
    </row>
    <row r="272" spans="2:6" ht="4.5" customHeight="1" thickBot="1" x14ac:dyDescent="0.25">
      <c r="B272" s="116"/>
      <c r="C272" s="142"/>
      <c r="D272" s="126"/>
      <c r="E272" s="125"/>
      <c r="F272" s="126"/>
    </row>
    <row r="273" spans="2:6" ht="18" customHeight="1" x14ac:dyDescent="0.2">
      <c r="B273" s="122"/>
      <c r="C273" s="137">
        <f>SUM(C275:C281)</f>
        <v>23696225</v>
      </c>
      <c r="D273" s="155">
        <f>SUM(D275:D281)</f>
        <v>-10648239.67</v>
      </c>
      <c r="E273" s="157">
        <f>SUM(E275:E281)</f>
        <v>13047985.33</v>
      </c>
      <c r="F273" s="157">
        <f>SUM(F275:F281)</f>
        <v>3978917.79</v>
      </c>
    </row>
    <row r="274" spans="2:6" ht="2.25" customHeight="1" thickBot="1" x14ac:dyDescent="0.25">
      <c r="B274" s="123"/>
      <c r="C274" s="138"/>
      <c r="D274" s="156"/>
      <c r="E274" s="157"/>
      <c r="F274" s="157"/>
    </row>
    <row r="275" spans="2:6" ht="28.5" customHeight="1" x14ac:dyDescent="0.2">
      <c r="B275" s="99" t="s">
        <v>72</v>
      </c>
      <c r="C275" s="68">
        <f>803600+6181555</f>
        <v>6985155</v>
      </c>
      <c r="D275" s="82">
        <f>-512494.15-3942279.21</f>
        <v>-4454773.3600000003</v>
      </c>
      <c r="E275" s="74">
        <f>+C275+D275</f>
        <v>2530381.6399999997</v>
      </c>
      <c r="F275" s="74">
        <f>291105.85+2239275.79</f>
        <v>2530381.64</v>
      </c>
    </row>
    <row r="276" spans="2:6" ht="27.75" customHeight="1" x14ac:dyDescent="0.2">
      <c r="B276" s="98" t="s">
        <v>73</v>
      </c>
      <c r="C276" s="70">
        <f>282750+2175000</f>
        <v>2457750</v>
      </c>
      <c r="D276" s="105"/>
      <c r="E276" s="74">
        <f t="shared" ref="E276:E281" si="22">+C276+D276</f>
        <v>2457750</v>
      </c>
      <c r="F276" s="74"/>
    </row>
    <row r="277" spans="2:6" ht="24" customHeight="1" x14ac:dyDescent="0.2">
      <c r="B277" s="79" t="s">
        <v>74</v>
      </c>
      <c r="C277" s="72">
        <f>517805+3983115</f>
        <v>4500920</v>
      </c>
      <c r="D277" s="83">
        <f>-517805-3983115</f>
        <v>-4500920</v>
      </c>
      <c r="E277" s="74">
        <f t="shared" si="22"/>
        <v>0</v>
      </c>
      <c r="F277" s="74"/>
    </row>
    <row r="278" spans="2:6" ht="30.75" customHeight="1" x14ac:dyDescent="0.2">
      <c r="B278" s="79" t="s">
        <v>75</v>
      </c>
      <c r="C278" s="72">
        <f>499210+3840080</f>
        <v>4339290</v>
      </c>
      <c r="D278" s="83">
        <f>215345.46+(-26185.66-201428.12)</f>
        <v>-12268.320000000007</v>
      </c>
      <c r="E278" s="74">
        <f t="shared" si="22"/>
        <v>4327021.68</v>
      </c>
      <c r="F278" s="74">
        <v>111539.15</v>
      </c>
    </row>
    <row r="279" spans="2:6" ht="29.25" customHeight="1" x14ac:dyDescent="0.2">
      <c r="B279" s="79" t="s">
        <v>76</v>
      </c>
      <c r="C279" s="72">
        <f>309065+2377425</f>
        <v>2686490</v>
      </c>
      <c r="D279" s="83">
        <f>-309065-1040428</f>
        <v>-1349493</v>
      </c>
      <c r="E279" s="74">
        <f t="shared" si="22"/>
        <v>1336997</v>
      </c>
      <c r="F279" s="74">
        <v>1336997</v>
      </c>
    </row>
    <row r="280" spans="2:6" ht="29.25" customHeight="1" x14ac:dyDescent="0.2">
      <c r="B280" s="79" t="s">
        <v>77</v>
      </c>
      <c r="C280" s="72">
        <f>269295+2071495</f>
        <v>2340790</v>
      </c>
      <c r="D280" s="83">
        <f>-26862.83-206637.16</f>
        <v>-233499.99</v>
      </c>
      <c r="E280" s="74">
        <f t="shared" si="22"/>
        <v>2107290.0099999998</v>
      </c>
      <c r="F280" s="74"/>
    </row>
    <row r="281" spans="2:6" ht="23.25" customHeight="1" thickBot="1" x14ac:dyDescent="0.25">
      <c r="B281" s="96" t="s">
        <v>78</v>
      </c>
      <c r="C281" s="71">
        <f>44370+341460</f>
        <v>385830</v>
      </c>
      <c r="D281" s="106">
        <f>-2465-94820</f>
        <v>-97285</v>
      </c>
      <c r="E281" s="74">
        <f t="shared" si="22"/>
        <v>288545</v>
      </c>
      <c r="F281" s="74"/>
    </row>
    <row r="282" spans="2:6" ht="14.25" customHeight="1" x14ac:dyDescent="0.25">
      <c r="B282" s="95" t="s">
        <v>80</v>
      </c>
      <c r="E282"/>
    </row>
    <row r="283" spans="2:6" ht="18" customHeight="1" x14ac:dyDescent="0.2">
      <c r="F283" s="57"/>
    </row>
    <row r="285" spans="2:6" ht="18" customHeight="1" x14ac:dyDescent="0.2">
      <c r="D285" s="55"/>
    </row>
  </sheetData>
  <mergeCells count="117">
    <mergeCell ref="E22:E23"/>
    <mergeCell ref="F22:F23"/>
    <mergeCell ref="C148:C150"/>
    <mergeCell ref="D148:D150"/>
    <mergeCell ref="E148:E150"/>
    <mergeCell ref="F148:F150"/>
    <mergeCell ref="B81:B82"/>
    <mergeCell ref="D81:D82"/>
    <mergeCell ref="E81:E82"/>
    <mergeCell ref="F81:F82"/>
    <mergeCell ref="B90:B91"/>
    <mergeCell ref="C90:C91"/>
    <mergeCell ref="D90:D91"/>
    <mergeCell ref="E90:E91"/>
    <mergeCell ref="F90:F91"/>
    <mergeCell ref="A6:E6"/>
    <mergeCell ref="B7:C7"/>
    <mergeCell ref="E7:F7"/>
    <mergeCell ref="B11:B13"/>
    <mergeCell ref="C11:C13"/>
    <mergeCell ref="D11:D13"/>
    <mergeCell ref="E11:E13"/>
    <mergeCell ref="F11:F13"/>
    <mergeCell ref="B14:B15"/>
    <mergeCell ref="C14:C15"/>
    <mergeCell ref="D14:D15"/>
    <mergeCell ref="E14:E15"/>
    <mergeCell ref="F14:F15"/>
    <mergeCell ref="B22:B23"/>
    <mergeCell ref="C22:C23"/>
    <mergeCell ref="D22:D23"/>
    <mergeCell ref="A216:E216"/>
    <mergeCell ref="B217:C217"/>
    <mergeCell ref="E217:F217"/>
    <mergeCell ref="B221:B223"/>
    <mergeCell ref="C221:C223"/>
    <mergeCell ref="D221:D223"/>
    <mergeCell ref="E221:E223"/>
    <mergeCell ref="F221:F223"/>
    <mergeCell ref="B151:B152"/>
    <mergeCell ref="C151:C152"/>
    <mergeCell ref="D151:D152"/>
    <mergeCell ref="E151:E152"/>
    <mergeCell ref="F151:F152"/>
    <mergeCell ref="B160:B161"/>
    <mergeCell ref="C160:C161"/>
    <mergeCell ref="D160:D161"/>
    <mergeCell ref="E160:E161"/>
    <mergeCell ref="F160:F161"/>
    <mergeCell ref="F198:F200"/>
    <mergeCell ref="F201:F202"/>
    <mergeCell ref="B201:B202"/>
    <mergeCell ref="C201:C202"/>
    <mergeCell ref="D201:D202"/>
    <mergeCell ref="E201:E202"/>
    <mergeCell ref="B224:B225"/>
    <mergeCell ref="C224:C225"/>
    <mergeCell ref="D224:D225"/>
    <mergeCell ref="E224:E225"/>
    <mergeCell ref="F224:F225"/>
    <mergeCell ref="B233:B234"/>
    <mergeCell ref="C233:C234"/>
    <mergeCell ref="D233:D234"/>
    <mergeCell ref="E233:E234"/>
    <mergeCell ref="F233:F234"/>
    <mergeCell ref="F60:F62"/>
    <mergeCell ref="F63:F64"/>
    <mergeCell ref="B129:B131"/>
    <mergeCell ref="C129:C131"/>
    <mergeCell ref="D129:D131"/>
    <mergeCell ref="E129:E131"/>
    <mergeCell ref="F129:F131"/>
    <mergeCell ref="B60:B62"/>
    <mergeCell ref="C60:C62"/>
    <mergeCell ref="D60:D62"/>
    <mergeCell ref="E60:E62"/>
    <mergeCell ref="B63:B64"/>
    <mergeCell ref="C63:C64"/>
    <mergeCell ref="D63:D64"/>
    <mergeCell ref="E63:E64"/>
    <mergeCell ref="A73:E73"/>
    <mergeCell ref="B74:C74"/>
    <mergeCell ref="E74:F74"/>
    <mergeCell ref="B78:B80"/>
    <mergeCell ref="C78:C80"/>
    <mergeCell ref="D78:D80"/>
    <mergeCell ref="E78:E80"/>
    <mergeCell ref="F78:F80"/>
    <mergeCell ref="C81:C82"/>
    <mergeCell ref="F132:F133"/>
    <mergeCell ref="F134:F135"/>
    <mergeCell ref="B198:B200"/>
    <mergeCell ref="C198:C200"/>
    <mergeCell ref="D198:D200"/>
    <mergeCell ref="E198:E200"/>
    <mergeCell ref="B132:B133"/>
    <mergeCell ref="C132:C133"/>
    <mergeCell ref="D132:D133"/>
    <mergeCell ref="E132:E133"/>
    <mergeCell ref="B134:B135"/>
    <mergeCell ref="C134:C135"/>
    <mergeCell ref="D134:D135"/>
    <mergeCell ref="E134:E135"/>
    <mergeCell ref="A143:E143"/>
    <mergeCell ref="B144:C144"/>
    <mergeCell ref="E144:F144"/>
    <mergeCell ref="B148:B150"/>
    <mergeCell ref="F270:F272"/>
    <mergeCell ref="B270:B272"/>
    <mergeCell ref="C270:C272"/>
    <mergeCell ref="D270:D272"/>
    <mergeCell ref="E270:E272"/>
    <mergeCell ref="B273:B274"/>
    <mergeCell ref="C273:C274"/>
    <mergeCell ref="D273:D274"/>
    <mergeCell ref="E273:E274"/>
    <mergeCell ref="F273:F274"/>
  </mergeCells>
  <pageMargins left="0.39370078740157483" right="0" top="0" bottom="0" header="0" footer="0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 2011</vt:lpstr>
      <vt:lpstr> 2012</vt:lpstr>
      <vt:lpstr> 2013</vt:lpstr>
      <vt:lpstr> 2014</vt:lpstr>
      <vt:lpstr> 2015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 SAFI</dc:creator>
  <cp:lastModifiedBy>Andrea</cp:lastModifiedBy>
  <cp:lastPrinted>2017-01-26T09:28:21Z</cp:lastPrinted>
  <dcterms:created xsi:type="dcterms:W3CDTF">2000-01-19T14:17:28Z</dcterms:created>
  <dcterms:modified xsi:type="dcterms:W3CDTF">2017-01-30T14:45:28Z</dcterms:modified>
</cp:coreProperties>
</file>