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zengerstein13\Desktop\"/>
    </mc:Choice>
  </mc:AlternateContent>
  <bookViews>
    <workbookView xWindow="0" yWindow="0" windowWidth="20490" windowHeight="7755"/>
  </bookViews>
  <sheets>
    <sheet name="2009" sheetId="10" r:id="rId1"/>
    <sheet name="2010" sheetId="9" r:id="rId2"/>
    <sheet name="2011" sheetId="8" r:id="rId3"/>
    <sheet name="2012" sheetId="7" r:id="rId4"/>
    <sheet name="2013" sheetId="3" r:id="rId5"/>
    <sheet name="2014" sheetId="5" r:id="rId6"/>
    <sheet name="2015" sheetId="6" r:id="rId7"/>
    <sheet name="Hoja1" sheetId="4" r:id="rId8"/>
  </sheets>
  <calcPr calcId="152511"/>
</workbook>
</file>

<file path=xl/calcChain.xml><?xml version="1.0" encoding="utf-8"?>
<calcChain xmlns="http://schemas.openxmlformats.org/spreadsheetml/2006/main">
  <c r="D51" i="6" l="1"/>
  <c r="E34" i="6"/>
  <c r="D34" i="6"/>
  <c r="D16" i="6"/>
  <c r="C34" i="6" l="1"/>
  <c r="C16" i="6"/>
  <c r="C14" i="6" s="1"/>
  <c r="E50" i="6"/>
  <c r="D50" i="6"/>
  <c r="C50" i="6"/>
  <c r="E48" i="6"/>
  <c r="D48" i="6"/>
  <c r="C48" i="6"/>
  <c r="E44" i="6"/>
  <c r="D44" i="6"/>
  <c r="C44" i="6"/>
  <c r="E40" i="6"/>
  <c r="D40" i="6"/>
  <c r="C40" i="6"/>
  <c r="E37" i="6"/>
  <c r="D37" i="6"/>
  <c r="C37" i="6"/>
  <c r="E31" i="6"/>
  <c r="D31" i="6"/>
  <c r="C31" i="6"/>
  <c r="E29" i="6"/>
  <c r="D29" i="6"/>
  <c r="C29" i="6"/>
  <c r="E24" i="6"/>
  <c r="D24" i="6"/>
  <c r="C24" i="6"/>
  <c r="E14" i="6"/>
  <c r="D14" i="6"/>
  <c r="E34" i="5"/>
  <c r="E31" i="5" s="1"/>
  <c r="D34" i="5"/>
  <c r="D31" i="5" s="1"/>
  <c r="C34" i="5"/>
  <c r="C31" i="5" s="1"/>
  <c r="E16" i="5"/>
  <c r="E14" i="5" s="1"/>
  <c r="E20" i="5"/>
  <c r="E19" i="5"/>
  <c r="E18" i="5"/>
  <c r="E17" i="5"/>
  <c r="D20" i="5"/>
  <c r="D19" i="5"/>
  <c r="D18" i="5"/>
  <c r="D17" i="5"/>
  <c r="D16" i="5"/>
  <c r="E50" i="5"/>
  <c r="E48" i="5"/>
  <c r="E44" i="5"/>
  <c r="E40" i="5"/>
  <c r="E37" i="5"/>
  <c r="E29" i="5"/>
  <c r="E24" i="5"/>
  <c r="E34" i="3"/>
  <c r="D34" i="3"/>
  <c r="D31" i="3" s="1"/>
  <c r="C34" i="3"/>
  <c r="C31" i="3" s="1"/>
  <c r="E50" i="3"/>
  <c r="D50" i="3"/>
  <c r="C50" i="3"/>
  <c r="E48" i="3"/>
  <c r="D48" i="3"/>
  <c r="C48" i="3"/>
  <c r="E44" i="3"/>
  <c r="D44" i="3"/>
  <c r="C44" i="3"/>
  <c r="E40" i="3"/>
  <c r="D40" i="3"/>
  <c r="C40" i="3"/>
  <c r="C39" i="3"/>
  <c r="C37" i="3" s="1"/>
  <c r="E37" i="3"/>
  <c r="D37" i="3"/>
  <c r="E31" i="3"/>
  <c r="E29" i="3"/>
  <c r="D29" i="3"/>
  <c r="C29" i="3"/>
  <c r="E24" i="3"/>
  <c r="D24" i="3"/>
  <c r="C24" i="3"/>
  <c r="E14" i="3"/>
  <c r="D14" i="3"/>
  <c r="C14" i="3"/>
  <c r="E30" i="7"/>
  <c r="E29" i="7" s="1"/>
  <c r="D30" i="7"/>
  <c r="C34" i="7"/>
  <c r="E50" i="7"/>
  <c r="D50" i="7"/>
  <c r="C50" i="7"/>
  <c r="E48" i="7"/>
  <c r="D48" i="7"/>
  <c r="C48" i="7"/>
  <c r="E44" i="7"/>
  <c r="D44" i="7"/>
  <c r="C44" i="7"/>
  <c r="E40" i="7"/>
  <c r="D40" i="7"/>
  <c r="C40" i="7"/>
  <c r="C39" i="7"/>
  <c r="C37" i="7" s="1"/>
  <c r="E37" i="7"/>
  <c r="D37" i="7"/>
  <c r="E31" i="7"/>
  <c r="D31" i="7"/>
  <c r="C31" i="7"/>
  <c r="D29" i="7"/>
  <c r="C29" i="7"/>
  <c r="E24" i="7"/>
  <c r="D24" i="7"/>
  <c r="C24" i="7"/>
  <c r="E14" i="7"/>
  <c r="D14" i="7"/>
  <c r="C14" i="7"/>
  <c r="E43" i="8"/>
  <c r="E51" i="8"/>
  <c r="E50" i="8" s="1"/>
  <c r="D51" i="8"/>
  <c r="E28" i="8"/>
  <c r="D28" i="8"/>
  <c r="E27" i="8"/>
  <c r="D27" i="8"/>
  <c r="E26" i="8"/>
  <c r="D26" i="8"/>
  <c r="D24" i="8" s="1"/>
  <c r="E25" i="8"/>
  <c r="D25" i="8"/>
  <c r="D43" i="8"/>
  <c r="E30" i="8"/>
  <c r="E29" i="8" s="1"/>
  <c r="D30" i="8"/>
  <c r="D29" i="8" s="1"/>
  <c r="E39" i="8"/>
  <c r="D39" i="8"/>
  <c r="C39" i="8"/>
  <c r="C37" i="8" s="1"/>
  <c r="E38" i="8"/>
  <c r="E37" i="8" s="1"/>
  <c r="D38" i="8"/>
  <c r="E36" i="8"/>
  <c r="D36" i="8"/>
  <c r="E34" i="8"/>
  <c r="D34" i="8"/>
  <c r="E33" i="8"/>
  <c r="D33" i="8"/>
  <c r="E32" i="8"/>
  <c r="D32" i="8"/>
  <c r="E20" i="8"/>
  <c r="D20" i="8"/>
  <c r="E19" i="8"/>
  <c r="D19" i="8"/>
  <c r="E17" i="8"/>
  <c r="D17" i="8"/>
  <c r="D14" i="8" s="1"/>
  <c r="E16" i="8"/>
  <c r="D16" i="8"/>
  <c r="C34" i="8"/>
  <c r="C31" i="8" s="1"/>
  <c r="D50" i="8"/>
  <c r="C50" i="8"/>
  <c r="E48" i="8"/>
  <c r="D48" i="8"/>
  <c r="C48" i="8"/>
  <c r="E44" i="8"/>
  <c r="D44" i="8"/>
  <c r="C44" i="8"/>
  <c r="E40" i="8"/>
  <c r="D40" i="8"/>
  <c r="C40" i="8"/>
  <c r="D37" i="8"/>
  <c r="D31" i="8"/>
  <c r="C29" i="8"/>
  <c r="E24" i="8"/>
  <c r="C24" i="8"/>
  <c r="C14" i="8"/>
  <c r="E25" i="9"/>
  <c r="E53" i="9"/>
  <c r="E50" i="9" s="1"/>
  <c r="D53" i="9"/>
  <c r="E51" i="9"/>
  <c r="D51" i="9"/>
  <c r="E42" i="9"/>
  <c r="E40" i="9" s="1"/>
  <c r="D42" i="9"/>
  <c r="D40" i="9" s="1"/>
  <c r="E30" i="9"/>
  <c r="D30" i="9"/>
  <c r="E28" i="9"/>
  <c r="E24" i="9" s="1"/>
  <c r="D28" i="9"/>
  <c r="E26" i="9"/>
  <c r="D26" i="9"/>
  <c r="D25" i="9"/>
  <c r="E20" i="9"/>
  <c r="E19" i="9"/>
  <c r="E17" i="9"/>
  <c r="E16" i="9"/>
  <c r="E14" i="9" s="1"/>
  <c r="D20" i="9"/>
  <c r="D19" i="9"/>
  <c r="D17" i="9"/>
  <c r="D16" i="9"/>
  <c r="D14" i="9" s="1"/>
  <c r="E51" i="10"/>
  <c r="E50" i="10" s="1"/>
  <c r="D51" i="10"/>
  <c r="E30" i="10"/>
  <c r="D30" i="10"/>
  <c r="D29" i="10" s="1"/>
  <c r="C44" i="9"/>
  <c r="E47" i="9"/>
  <c r="D47" i="9"/>
  <c r="D44" i="9" s="1"/>
  <c r="E34" i="9"/>
  <c r="D34" i="9"/>
  <c r="C34" i="9"/>
  <c r="C31" i="9" s="1"/>
  <c r="C50" i="9"/>
  <c r="E48" i="9"/>
  <c r="D48" i="9"/>
  <c r="C48" i="9"/>
  <c r="E44" i="9"/>
  <c r="C40" i="9"/>
  <c r="E37" i="9"/>
  <c r="D37" i="9"/>
  <c r="C37" i="9"/>
  <c r="E31" i="9"/>
  <c r="D31" i="9"/>
  <c r="E29" i="9"/>
  <c r="D29" i="9"/>
  <c r="C29" i="9"/>
  <c r="C24" i="9"/>
  <c r="C14" i="9"/>
  <c r="E34" i="10"/>
  <c r="E31" i="10" s="1"/>
  <c r="D34" i="10"/>
  <c r="D31" i="10" s="1"/>
  <c r="C34" i="10"/>
  <c r="E48" i="10"/>
  <c r="E44" i="10"/>
  <c r="E40" i="10"/>
  <c r="E37" i="10"/>
  <c r="E29" i="10"/>
  <c r="E24" i="10"/>
  <c r="E14" i="10"/>
  <c r="D50" i="10"/>
  <c r="C50" i="10"/>
  <c r="D48" i="10"/>
  <c r="C48" i="10"/>
  <c r="D44" i="10"/>
  <c r="C44" i="10"/>
  <c r="D40" i="10"/>
  <c r="C40" i="10"/>
  <c r="D37" i="10"/>
  <c r="C37" i="10"/>
  <c r="C31" i="10"/>
  <c r="C29" i="10"/>
  <c r="D24" i="10"/>
  <c r="C24" i="10"/>
  <c r="D14" i="10"/>
  <c r="C14" i="10"/>
  <c r="D50" i="5"/>
  <c r="C50" i="5"/>
  <c r="D48" i="5"/>
  <c r="C48" i="5"/>
  <c r="D44" i="5"/>
  <c r="C44" i="5"/>
  <c r="D40" i="5"/>
  <c r="C40" i="5"/>
  <c r="D37" i="5"/>
  <c r="C37" i="5"/>
  <c r="D29" i="5"/>
  <c r="C29" i="5"/>
  <c r="C22" i="5" s="1"/>
  <c r="D24" i="5"/>
  <c r="C24" i="5"/>
  <c r="C20" i="5"/>
  <c r="C19" i="5"/>
  <c r="C17" i="5"/>
  <c r="C16" i="5"/>
  <c r="C14" i="5" l="1"/>
  <c r="C22" i="10"/>
  <c r="D22" i="10"/>
  <c r="D54" i="10" s="1"/>
  <c r="D24" i="9"/>
  <c r="D50" i="9"/>
  <c r="E14" i="8"/>
  <c r="E31" i="8"/>
  <c r="D14" i="5"/>
  <c r="D54" i="5" s="1"/>
  <c r="C54" i="10"/>
  <c r="E22" i="6"/>
  <c r="E54" i="6" s="1"/>
  <c r="D22" i="6"/>
  <c r="D54" i="6" s="1"/>
  <c r="C22" i="6"/>
  <c r="C54" i="6" s="1"/>
  <c r="C54" i="5"/>
  <c r="E22" i="5"/>
  <c r="E54" i="5" s="1"/>
  <c r="D22" i="5"/>
  <c r="C22" i="3"/>
  <c r="C56" i="3" s="1"/>
  <c r="E22" i="3"/>
  <c r="E56" i="3" s="1"/>
  <c r="D22" i="3"/>
  <c r="D56" i="3" s="1"/>
  <c r="E22" i="7"/>
  <c r="E56" i="7" s="1"/>
  <c r="D22" i="7"/>
  <c r="D56" i="7" s="1"/>
  <c r="C22" i="7"/>
  <c r="C56" i="7" s="1"/>
  <c r="E22" i="8"/>
  <c r="E56" i="8" s="1"/>
  <c r="D22" i="8"/>
  <c r="D56" i="8" s="1"/>
  <c r="C22" i="8"/>
  <c r="C56" i="8" s="1"/>
  <c r="E22" i="9"/>
  <c r="E56" i="9" s="1"/>
  <c r="D22" i="9"/>
  <c r="D56" i="9" s="1"/>
  <c r="C22" i="9"/>
  <c r="C56" i="9" s="1"/>
  <c r="E22" i="10"/>
  <c r="E54" i="10" s="1"/>
</calcChain>
</file>

<file path=xl/sharedStrings.xml><?xml version="1.0" encoding="utf-8"?>
<sst xmlns="http://schemas.openxmlformats.org/spreadsheetml/2006/main" count="359" uniqueCount="65">
  <si>
    <t>OBJETOS ESPECIFICOS</t>
  </si>
  <si>
    <t>UNIDAD PRESUPUESTARIA: 06 - ADMINISTRACION DEL SISTEMA PENITENCIARIO</t>
  </si>
  <si>
    <t>LINEA DE TRABAJO: 01 - RECLUSION Y REHABILITACION</t>
  </si>
  <si>
    <t>UNIDAD SECUNDARIA FINANCIERA</t>
  </si>
  <si>
    <t>AREA DE PRESUPUESTO</t>
  </si>
  <si>
    <t>TOTAL GENERAL</t>
  </si>
  <si>
    <t>RUBRO 51 - REMUNERACIONES</t>
  </si>
  <si>
    <t xml:space="preserve">          * Servicios de Energía Eléctrica</t>
  </si>
  <si>
    <t xml:space="preserve">          * Servicios de Agua potable</t>
  </si>
  <si>
    <t xml:space="preserve">          * Servicios de Telecomunicaciones</t>
  </si>
  <si>
    <t xml:space="preserve">          * Servicios de Correos</t>
  </si>
  <si>
    <t xml:space="preserve">          * Arrendamiento de Bienes Muebles</t>
  </si>
  <si>
    <t xml:space="preserve">          * Arrendamiento de Bienes Inmuebles</t>
  </si>
  <si>
    <t>SERVICIOS BASICOS</t>
  </si>
  <si>
    <t>SERVICIOS DE ALIMENTACION</t>
  </si>
  <si>
    <t>ARRENDAMIENTOS DIVERSOS</t>
  </si>
  <si>
    <t>OTROS</t>
  </si>
  <si>
    <t xml:space="preserve">          *Impuestos Municipales y desechos sólidos de los Centros Penales</t>
  </si>
  <si>
    <t>Alimentación de Internos</t>
  </si>
  <si>
    <t xml:space="preserve">          * Adquisición de Combustible y Lubricantes</t>
  </si>
  <si>
    <t xml:space="preserve">          * Adquisición de  Material Informático</t>
  </si>
  <si>
    <t xml:space="preserve">          * Adquisición de Medicamentos y Material Médico-Quirúrgico</t>
  </si>
  <si>
    <t xml:space="preserve">          * Adquisición de Agua Purificada para las Unidades y C.P.</t>
  </si>
  <si>
    <t>ADQUISICIONES NECESARIAS</t>
  </si>
  <si>
    <t>RUBRO 55-GASTOS FINANCIEROS Y OTROS</t>
  </si>
  <si>
    <t xml:space="preserve">          *Pólizas de Seguros de la Flota Vehicular</t>
  </si>
  <si>
    <t>RUBRO 56-TRANSFERENCIAS CORRIENTES</t>
  </si>
  <si>
    <t xml:space="preserve">          *Subsidios por Gastos Funerales a familiares de empleados fallecidos</t>
  </si>
  <si>
    <t>MANTENIMIENTOS PREVENTIVOS Y CORRECTIVOS</t>
  </si>
  <si>
    <t xml:space="preserve">          * Mantenimiento de bienes muebles</t>
  </si>
  <si>
    <t xml:space="preserve">          * Mantenimiento de Vehiculos</t>
  </si>
  <si>
    <t>RUBRO 54-ADQUISICIONES DE BIENES Y SERVICIOS</t>
  </si>
  <si>
    <t xml:space="preserve">          * Adquisición de Papel Bond</t>
  </si>
  <si>
    <t xml:space="preserve">          * Salarios</t>
  </si>
  <si>
    <t xml:space="preserve">          * Aguinaldos</t>
  </si>
  <si>
    <t xml:space="preserve">          * Aportaciones ISSS</t>
  </si>
  <si>
    <t xml:space="preserve">          * Aportaciones AFP´S</t>
  </si>
  <si>
    <t xml:space="preserve">          * Indemnizaciones de ex-empleados que interponen demandas</t>
  </si>
  <si>
    <t>DIRECCION GENERAL DE CENTROS PENALES</t>
  </si>
  <si>
    <t xml:space="preserve">          *Multas o recargos por pagos extemporaneos</t>
  </si>
  <si>
    <t>RUBRO 61-INVERSIONES EN ACTIVOS FIJOS</t>
  </si>
  <si>
    <t xml:space="preserve">          *Adquisición de Impresores</t>
  </si>
  <si>
    <t xml:space="preserve">          *Herramientas y Repuestos Principales</t>
  </si>
  <si>
    <t xml:space="preserve">          *Derechos de Propiedad Intelectual</t>
  </si>
  <si>
    <t xml:space="preserve">          * Beneficios Adicionales</t>
  </si>
  <si>
    <t>PRESUPUESTO ASIGNADO</t>
  </si>
  <si>
    <t>PRESUPUESTO MODIFICADO</t>
  </si>
  <si>
    <t>DETALLE DE PRESUPUESTO ASIGNADO, MODIFICADO Y EJECUTADO/2009</t>
  </si>
  <si>
    <t>DETALLE DE PRESUPUESTO ASIGNADO, MODIFICADO Y EJECUTADO/2010</t>
  </si>
  <si>
    <t>DETALLE DE PRESUPUESTO ASIGNADO, MODIFICADO Y EJECUTADO/2014</t>
  </si>
  <si>
    <t>DETALLE DE PRESUPUESTO ASIGNADO, MODIFICADO Y EJECUTADO/2013</t>
  </si>
  <si>
    <t>DETALLE DE PRESUPUESTO ASIGNADO, MODIFICADO Y EJECUTADO/2012</t>
  </si>
  <si>
    <t>DETALLE DE PRESUPUESTO ASIGNADO, MODIFICADO Y EJECUTADO/2011</t>
  </si>
  <si>
    <t>PRESUPUESTO EJECUTADO</t>
  </si>
  <si>
    <t>PRESUPUESTO ASIGNADO-VOTADO</t>
  </si>
  <si>
    <t xml:space="preserve">          *Adquisición de Mobiliaeio y Equipo</t>
  </si>
  <si>
    <t xml:space="preserve">          *Equipos Informáticos</t>
  </si>
  <si>
    <t xml:space="preserve">          *Obras de Infraestructura  Diversas</t>
  </si>
  <si>
    <t xml:space="preserve">          *Adquisición de Mobiliario y Equipo</t>
  </si>
  <si>
    <t xml:space="preserve">          *Libros y Colecciones</t>
  </si>
  <si>
    <t xml:space="preserve">          *Eléctricas y Comunicaciones</t>
  </si>
  <si>
    <t>NOTA:  EL PRESENTE INFORME INCLUYE  FUENTES DE FINANCIAMIENTO: FONDO GENERAL  Y PRESTAMOS EXTERNOS.</t>
  </si>
  <si>
    <t>DETALLE DE PRESUPUESTO ASIGNADO, MODIFICADO Y EJECUTADO AL 09 DE SEPTIEMBRE /2015</t>
  </si>
  <si>
    <t xml:space="preserve">          *Maquinaria y Equipo para Apoyo Institucional</t>
  </si>
  <si>
    <t>FONDO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</si>
</sst>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_(&quot;$&quot;* #,##0.00_);_(&quot;$&quot;* \(#,##0.00\);_(&quot;$&quot;* &quot;-&quot;_);_(@_)"/>
  </numFmts>
  <fonts count="2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20"/>
      <name val="Bookman Old Style"/>
      <family val="1"/>
    </font>
    <font>
      <b/>
      <sz val="18"/>
      <name val="Times New Roman"/>
      <family val="1"/>
    </font>
    <font>
      <b/>
      <sz val="11"/>
      <name val="Times New Roman"/>
      <family val="1"/>
    </font>
    <font>
      <b/>
      <sz val="16"/>
      <name val="Bookman Old Style"/>
      <family val="1"/>
    </font>
    <font>
      <b/>
      <sz val="18"/>
      <name val="Bookman Old Style"/>
      <family val="1"/>
    </font>
    <font>
      <sz val="1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gray125">
        <bgColor indexed="9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165" fontId="10" fillId="0" borderId="1" xfId="1" applyNumberFormat="1" applyFont="1" applyFill="1" applyBorder="1"/>
    <xf numFmtId="165" fontId="7" fillId="0" borderId="2" xfId="1" applyNumberFormat="1" applyFont="1" applyBorder="1"/>
    <xf numFmtId="165" fontId="8" fillId="0" borderId="2" xfId="0" applyNumberFormat="1" applyFont="1" applyBorder="1" applyAlignment="1">
      <alignment horizontal="center"/>
    </xf>
    <xf numFmtId="0" fontId="6" fillId="0" borderId="3" xfId="0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0" fontId="6" fillId="2" borderId="3" xfId="0" applyFont="1" applyFill="1" applyBorder="1"/>
    <xf numFmtId="0" fontId="7" fillId="2" borderId="3" xfId="0" applyFont="1" applyFill="1" applyBorder="1"/>
    <xf numFmtId="0" fontId="6" fillId="0" borderId="2" xfId="0" applyFont="1" applyBorder="1"/>
    <xf numFmtId="0" fontId="12" fillId="0" borderId="0" xfId="0" applyFont="1"/>
    <xf numFmtId="0" fontId="9" fillId="1" borderId="4" xfId="0" applyFont="1" applyFill="1" applyBorder="1" applyAlignment="1">
      <alignment vertical="center" wrapText="1"/>
    </xf>
    <xf numFmtId="0" fontId="14" fillId="3" borderId="4" xfId="0" applyFont="1" applyFill="1" applyBorder="1"/>
    <xf numFmtId="0" fontId="7" fillId="0" borderId="3" xfId="0" applyFont="1" applyBorder="1" applyAlignment="1">
      <alignment horizontal="left"/>
    </xf>
    <xf numFmtId="165" fontId="7" fillId="0" borderId="5" xfId="0" applyNumberFormat="1" applyFont="1" applyBorder="1"/>
    <xf numFmtId="165" fontId="9" fillId="0" borderId="4" xfId="1" applyNumberFormat="1" applyFont="1" applyBorder="1"/>
    <xf numFmtId="165" fontId="7" fillId="0" borderId="6" xfId="1" applyNumberFormat="1" applyFont="1" applyBorder="1"/>
    <xf numFmtId="165" fontId="10" fillId="0" borderId="4" xfId="1" applyNumberFormat="1" applyFont="1" applyFill="1" applyBorder="1"/>
    <xf numFmtId="0" fontId="6" fillId="0" borderId="7" xfId="0" applyFont="1" applyBorder="1"/>
    <xf numFmtId="0" fontId="7" fillId="0" borderId="8" xfId="0" applyFont="1" applyBorder="1"/>
    <xf numFmtId="165" fontId="7" fillId="0" borderId="8" xfId="1" applyNumberFormat="1" applyFont="1" applyBorder="1"/>
    <xf numFmtId="0" fontId="7" fillId="0" borderId="9" xfId="0" applyFont="1" applyBorder="1"/>
    <xf numFmtId="0" fontId="7" fillId="0" borderId="6" xfId="0" applyFont="1" applyBorder="1"/>
    <xf numFmtId="165" fontId="6" fillId="0" borderId="10" xfId="0" applyNumberFormat="1" applyFont="1" applyBorder="1"/>
    <xf numFmtId="165" fontId="7" fillId="0" borderId="3" xfId="0" applyNumberFormat="1" applyFont="1" applyBorder="1"/>
    <xf numFmtId="165" fontId="6" fillId="0" borderId="3" xfId="0" applyNumberFormat="1" applyFont="1" applyBorder="1"/>
    <xf numFmtId="165" fontId="6" fillId="0" borderId="11" xfId="0" applyNumberFormat="1" applyFont="1" applyBorder="1"/>
    <xf numFmtId="165" fontId="7" fillId="0" borderId="11" xfId="0" applyNumberFormat="1" applyFont="1" applyBorder="1"/>
    <xf numFmtId="0" fontId="7" fillId="0" borderId="12" xfId="0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9" fillId="0" borderId="1" xfId="0" applyNumberFormat="1" applyFont="1" applyBorder="1"/>
    <xf numFmtId="165" fontId="6" fillId="0" borderId="14" xfId="0" applyNumberFormat="1" applyFont="1" applyBorder="1"/>
    <xf numFmtId="165" fontId="7" fillId="0" borderId="10" xfId="1" applyNumberFormat="1" applyFont="1" applyBorder="1"/>
    <xf numFmtId="0" fontId="12" fillId="0" borderId="0" xfId="0" applyFont="1" applyFill="1" applyBorder="1"/>
    <xf numFmtId="0" fontId="7" fillId="0" borderId="18" xfId="0" applyFont="1" applyBorder="1"/>
    <xf numFmtId="165" fontId="7" fillId="0" borderId="18" xfId="1" applyNumberFormat="1" applyFont="1" applyBorder="1"/>
    <xf numFmtId="165" fontId="7" fillId="0" borderId="2" xfId="0" applyNumberFormat="1" applyFont="1" applyBorder="1"/>
    <xf numFmtId="165" fontId="9" fillId="0" borderId="1" xfId="1" applyNumberFormat="1" applyFont="1" applyBorder="1"/>
    <xf numFmtId="0" fontId="1" fillId="0" borderId="0" xfId="0" applyFont="1" applyFill="1" applyBorder="1"/>
    <xf numFmtId="0" fontId="17" fillId="0" borderId="0" xfId="0" applyFont="1" applyAlignment="1"/>
    <xf numFmtId="0" fontId="18" fillId="0" borderId="0" xfId="0" applyFont="1"/>
    <xf numFmtId="165" fontId="7" fillId="0" borderId="0" xfId="0" applyNumberFormat="1" applyFont="1" applyBorder="1"/>
    <xf numFmtId="165" fontId="10" fillId="0" borderId="0" xfId="1" applyNumberFormat="1" applyFont="1" applyFill="1" applyBorder="1"/>
    <xf numFmtId="0" fontId="19" fillId="0" borderId="0" xfId="0" applyFont="1"/>
    <xf numFmtId="0" fontId="1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165" fontId="9" fillId="0" borderId="15" xfId="0" applyNumberFormat="1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0" fontId="9" fillId="4" borderId="1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165" fontId="9" fillId="0" borderId="16" xfId="0" applyNumberFormat="1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1"/>
  <sheetViews>
    <sheetView tabSelected="1" workbookViewId="0">
      <selection activeCell="B56" sqref="B56"/>
    </sheetView>
  </sheetViews>
  <sheetFormatPr baseColWidth="10" defaultRowHeight="18" customHeight="1" x14ac:dyDescent="0.2"/>
  <cols>
    <col min="1" max="1" width="4.140625" customWidth="1"/>
    <col min="2" max="2" width="66.7109375" customWidth="1"/>
    <col min="3" max="5" width="23.7109375" customWidth="1"/>
  </cols>
  <sheetData>
    <row r="1" spans="2:5" ht="18" customHeight="1" x14ac:dyDescent="0.2">
      <c r="B1" s="4" t="s">
        <v>38</v>
      </c>
    </row>
    <row r="2" spans="2:5" ht="18" customHeight="1" x14ac:dyDescent="0.2">
      <c r="B2" s="4" t="s">
        <v>3</v>
      </c>
    </row>
    <row r="3" spans="2:5" ht="18" customHeight="1" x14ac:dyDescent="0.2">
      <c r="B3" s="4" t="s">
        <v>4</v>
      </c>
    </row>
    <row r="4" spans="2:5" ht="10.5" customHeight="1" x14ac:dyDescent="0.2">
      <c r="B4" s="4"/>
    </row>
    <row r="5" spans="2:5" ht="28.5" customHeight="1" x14ac:dyDescent="0.35">
      <c r="B5" s="44" t="s">
        <v>47</v>
      </c>
      <c r="C5" s="44"/>
      <c r="D5" s="44"/>
      <c r="E5" s="45"/>
    </row>
    <row r="6" spans="2:5" ht="28.5" customHeight="1" x14ac:dyDescent="0.3">
      <c r="B6" s="49"/>
      <c r="C6" s="49"/>
      <c r="D6" s="49"/>
    </row>
    <row r="7" spans="2:5" ht="15" customHeight="1" x14ac:dyDescent="0.4">
      <c r="B7" s="50"/>
      <c r="C7" s="50"/>
      <c r="D7" s="50"/>
    </row>
    <row r="8" spans="2:5" ht="18" customHeight="1" x14ac:dyDescent="0.2">
      <c r="B8" s="2" t="s">
        <v>1</v>
      </c>
      <c r="C8" s="3"/>
    </row>
    <row r="9" spans="2:5" ht="18" customHeight="1" x14ac:dyDescent="0.2">
      <c r="B9" s="2" t="s">
        <v>2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51" t="s">
        <v>0</v>
      </c>
      <c r="C11" s="54" t="s">
        <v>54</v>
      </c>
      <c r="D11" s="57" t="s">
        <v>46</v>
      </c>
      <c r="E11" s="57" t="s">
        <v>53</v>
      </c>
    </row>
    <row r="12" spans="2:5" ht="18" customHeight="1" x14ac:dyDescent="0.2">
      <c r="B12" s="52"/>
      <c r="C12" s="55"/>
      <c r="D12" s="58"/>
      <c r="E12" s="58"/>
    </row>
    <row r="13" spans="2:5" ht="6" customHeight="1" thickBot="1" x14ac:dyDescent="0.25">
      <c r="B13" s="53"/>
      <c r="C13" s="56"/>
      <c r="D13" s="59"/>
      <c r="E13" s="59"/>
    </row>
    <row r="14" spans="2:5" ht="18" customHeight="1" x14ac:dyDescent="0.2">
      <c r="B14" s="63" t="s">
        <v>6</v>
      </c>
      <c r="C14" s="65">
        <f>SUM(C16:C21)</f>
        <v>14788545</v>
      </c>
      <c r="D14" s="61">
        <f>SUM(D16:D21)</f>
        <v>13703739</v>
      </c>
      <c r="E14" s="61">
        <f>SUM(E16:E21)</f>
        <v>13703738.6</v>
      </c>
    </row>
    <row r="15" spans="2:5" ht="18" customHeight="1" thickBot="1" x14ac:dyDescent="0.25">
      <c r="B15" s="64"/>
      <c r="C15" s="66"/>
      <c r="D15" s="62"/>
      <c r="E15" s="62"/>
    </row>
    <row r="16" spans="2:5" ht="18" customHeight="1" x14ac:dyDescent="0.25">
      <c r="B16" s="17" t="s">
        <v>33</v>
      </c>
      <c r="C16" s="18">
        <v>12436910</v>
      </c>
      <c r="D16" s="28">
        <v>11550508.66</v>
      </c>
      <c r="E16" s="28">
        <v>11550508.66</v>
      </c>
    </row>
    <row r="17" spans="2:5" ht="18" customHeight="1" x14ac:dyDescent="0.25">
      <c r="B17" s="9" t="s">
        <v>34</v>
      </c>
      <c r="C17" s="18">
        <v>653245</v>
      </c>
      <c r="D17" s="28">
        <v>606505.23</v>
      </c>
      <c r="E17" s="28">
        <v>606505.23</v>
      </c>
    </row>
    <row r="18" spans="2:5" ht="18" customHeight="1" x14ac:dyDescent="0.25">
      <c r="B18" s="9" t="s">
        <v>44</v>
      </c>
      <c r="C18" s="18"/>
      <c r="D18" s="28"/>
      <c r="E18" s="28"/>
    </row>
    <row r="19" spans="2:5" ht="18" customHeight="1" x14ac:dyDescent="0.25">
      <c r="B19" s="9" t="s">
        <v>35</v>
      </c>
      <c r="C19" s="18">
        <v>917245</v>
      </c>
      <c r="D19" s="28">
        <v>1059254.92</v>
      </c>
      <c r="E19" s="28">
        <v>1059254.92</v>
      </c>
    </row>
    <row r="20" spans="2:5" ht="18" customHeight="1" x14ac:dyDescent="0.25">
      <c r="B20" s="10" t="s">
        <v>36</v>
      </c>
      <c r="C20" s="18">
        <v>781145</v>
      </c>
      <c r="D20" s="28">
        <v>471941.82</v>
      </c>
      <c r="E20" s="28">
        <v>471941.42</v>
      </c>
    </row>
    <row r="21" spans="2:5" ht="18" customHeight="1" thickBot="1" x14ac:dyDescent="0.3">
      <c r="B21" s="32" t="s">
        <v>37</v>
      </c>
      <c r="C21" s="33"/>
      <c r="D21" s="31">
        <v>15528.37</v>
      </c>
      <c r="E21" s="31">
        <v>15528.37</v>
      </c>
    </row>
    <row r="22" spans="2:5" ht="18" customHeight="1" x14ac:dyDescent="0.2">
      <c r="B22" s="63" t="s">
        <v>31</v>
      </c>
      <c r="C22" s="65">
        <f>C24+C29+C31+C37+C40+C43</f>
        <v>12770145</v>
      </c>
      <c r="D22" s="61">
        <f>D24+D29+D31+D37+D40+D43</f>
        <v>20970848.25</v>
      </c>
      <c r="E22" s="61">
        <f>E24+E29+E31+E37+E40+E43</f>
        <v>20970767.900000002</v>
      </c>
    </row>
    <row r="23" spans="2:5" ht="18" customHeight="1" thickBot="1" x14ac:dyDescent="0.25">
      <c r="B23" s="64"/>
      <c r="C23" s="66"/>
      <c r="D23" s="62"/>
      <c r="E23" s="62"/>
    </row>
    <row r="24" spans="2:5" ht="18" customHeight="1" x14ac:dyDescent="0.25">
      <c r="B24" s="8" t="s">
        <v>13</v>
      </c>
      <c r="C24" s="27">
        <f>SUM(C25:C28)</f>
        <v>1000000</v>
      </c>
      <c r="D24" s="27">
        <f>SUM(D25:D28)</f>
        <v>1564257.18</v>
      </c>
      <c r="E24" s="27">
        <f>SUM(E25:E28)</f>
        <v>1564257.18</v>
      </c>
    </row>
    <row r="25" spans="2:5" ht="18" customHeight="1" x14ac:dyDescent="0.25">
      <c r="B25" s="9" t="s">
        <v>7</v>
      </c>
      <c r="C25" s="28">
        <v>623000</v>
      </c>
      <c r="D25" s="28">
        <v>914578.33</v>
      </c>
      <c r="E25" s="28">
        <v>914578.33</v>
      </c>
    </row>
    <row r="26" spans="2:5" ht="18" customHeight="1" x14ac:dyDescent="0.25">
      <c r="B26" s="9" t="s">
        <v>8</v>
      </c>
      <c r="C26" s="28">
        <v>265000</v>
      </c>
      <c r="D26" s="28">
        <v>442518.15</v>
      </c>
      <c r="E26" s="28">
        <v>442518.15</v>
      </c>
    </row>
    <row r="27" spans="2:5" ht="18" customHeight="1" x14ac:dyDescent="0.25">
      <c r="B27" s="9" t="s">
        <v>9</v>
      </c>
      <c r="C27" s="28">
        <v>110000</v>
      </c>
      <c r="D27" s="28">
        <v>204172.66</v>
      </c>
      <c r="E27" s="28">
        <v>204172.66</v>
      </c>
    </row>
    <row r="28" spans="2:5" ht="18" customHeight="1" x14ac:dyDescent="0.25">
      <c r="B28" s="10" t="s">
        <v>10</v>
      </c>
      <c r="C28" s="28">
        <v>2000</v>
      </c>
      <c r="D28" s="28">
        <v>2988.04</v>
      </c>
      <c r="E28" s="28">
        <v>2988.04</v>
      </c>
    </row>
    <row r="29" spans="2:5" ht="18" customHeight="1" x14ac:dyDescent="0.25">
      <c r="B29" s="11" t="s">
        <v>14</v>
      </c>
      <c r="C29" s="7">
        <f>SUM(C30)</f>
        <v>10824000</v>
      </c>
      <c r="D29" s="29">
        <f>SUM(D30)</f>
        <v>18027199.859999999</v>
      </c>
      <c r="E29" s="29">
        <f>SUM(E30)</f>
        <v>18027198.23</v>
      </c>
    </row>
    <row r="30" spans="2:5" ht="18" customHeight="1" x14ac:dyDescent="0.25">
      <c r="B30" s="12" t="s">
        <v>18</v>
      </c>
      <c r="C30" s="28">
        <v>10824000</v>
      </c>
      <c r="D30" s="28">
        <f>11676029.86+6351170</f>
        <v>18027199.859999999</v>
      </c>
      <c r="E30" s="28">
        <f>11676029.23+6351169</f>
        <v>18027198.23</v>
      </c>
    </row>
    <row r="31" spans="2:5" ht="18" customHeight="1" x14ac:dyDescent="0.25">
      <c r="B31" s="13" t="s">
        <v>23</v>
      </c>
      <c r="C31" s="29">
        <f>SUM(C32:C36)</f>
        <v>406900</v>
      </c>
      <c r="D31" s="29">
        <f>SUM(D32:D36)</f>
        <v>382907.34</v>
      </c>
      <c r="E31" s="29">
        <f>SUM(E32:E36)</f>
        <v>382907.34</v>
      </c>
    </row>
    <row r="32" spans="2:5" ht="18" customHeight="1" x14ac:dyDescent="0.25">
      <c r="B32" s="10" t="s">
        <v>22</v>
      </c>
      <c r="C32" s="28">
        <v>25000</v>
      </c>
      <c r="D32" s="28">
        <v>28732.11</v>
      </c>
      <c r="E32" s="28">
        <v>28732.11</v>
      </c>
    </row>
    <row r="33" spans="2:5" ht="18" customHeight="1" x14ac:dyDescent="0.25">
      <c r="B33" s="10" t="s">
        <v>32</v>
      </c>
      <c r="C33" s="28">
        <v>40000</v>
      </c>
      <c r="D33" s="28">
        <v>45250.42</v>
      </c>
      <c r="E33" s="28">
        <v>45250.42</v>
      </c>
    </row>
    <row r="34" spans="2:5" ht="18" customHeight="1" x14ac:dyDescent="0.25">
      <c r="B34" s="10" t="s">
        <v>21</v>
      </c>
      <c r="C34" s="28">
        <f>175000+16900</f>
        <v>191900</v>
      </c>
      <c r="D34" s="28">
        <f>172458.6+29010.25</f>
        <v>201468.85</v>
      </c>
      <c r="E34" s="28">
        <f>172458.6+29010.25</f>
        <v>201468.85</v>
      </c>
    </row>
    <row r="35" spans="2:5" ht="18" customHeight="1" x14ac:dyDescent="0.25">
      <c r="B35" s="10" t="s">
        <v>19</v>
      </c>
      <c r="C35" s="28">
        <v>130000</v>
      </c>
      <c r="D35" s="28">
        <v>61220.5</v>
      </c>
      <c r="E35" s="28">
        <v>61220.5</v>
      </c>
    </row>
    <row r="36" spans="2:5" ht="18" customHeight="1" x14ac:dyDescent="0.25">
      <c r="B36" s="10" t="s">
        <v>20</v>
      </c>
      <c r="C36" s="28">
        <v>20000</v>
      </c>
      <c r="D36" s="28">
        <v>46235.46</v>
      </c>
      <c r="E36" s="28">
        <v>46235.46</v>
      </c>
    </row>
    <row r="37" spans="2:5" ht="18" customHeight="1" x14ac:dyDescent="0.25">
      <c r="B37" s="13" t="s">
        <v>28</v>
      </c>
      <c r="C37" s="29">
        <f>SUM(C38:C39)</f>
        <v>82505</v>
      </c>
      <c r="D37" s="29">
        <f>SUM(D38:D39)</f>
        <v>134384.57</v>
      </c>
      <c r="E37" s="29">
        <f>SUM(E38:E39)</f>
        <v>134306.75</v>
      </c>
    </row>
    <row r="38" spans="2:5" ht="18" customHeight="1" x14ac:dyDescent="0.25">
      <c r="B38" s="10" t="s">
        <v>29</v>
      </c>
      <c r="C38" s="28">
        <v>72505</v>
      </c>
      <c r="D38" s="28">
        <v>41729.19</v>
      </c>
      <c r="E38" s="28">
        <v>41651.370000000003</v>
      </c>
    </row>
    <row r="39" spans="2:5" ht="18" customHeight="1" x14ac:dyDescent="0.25">
      <c r="B39" s="10" t="s">
        <v>30</v>
      </c>
      <c r="C39" s="28">
        <v>10000</v>
      </c>
      <c r="D39" s="28">
        <v>92655.38</v>
      </c>
      <c r="E39" s="28">
        <v>92655.38</v>
      </c>
    </row>
    <row r="40" spans="2:5" ht="18" customHeight="1" x14ac:dyDescent="0.25">
      <c r="B40" s="13" t="s">
        <v>15</v>
      </c>
      <c r="C40" s="29">
        <f>SUM(C41:C42)</f>
        <v>158890</v>
      </c>
      <c r="D40" s="29">
        <f>SUM(D41:D42)</f>
        <v>226444.46</v>
      </c>
      <c r="E40" s="29">
        <f>SUM(E41:E42)</f>
        <v>226444.46</v>
      </c>
    </row>
    <row r="41" spans="2:5" ht="18" customHeight="1" x14ac:dyDescent="0.25">
      <c r="B41" s="10" t="s">
        <v>11</v>
      </c>
      <c r="C41" s="28"/>
      <c r="D41" s="28">
        <v>63986.400000000001</v>
      </c>
      <c r="E41" s="28">
        <v>63986.400000000001</v>
      </c>
    </row>
    <row r="42" spans="2:5" ht="18" customHeight="1" x14ac:dyDescent="0.25">
      <c r="B42" s="10" t="s">
        <v>12</v>
      </c>
      <c r="C42" s="28">
        <v>158890</v>
      </c>
      <c r="D42" s="28">
        <v>162458.06</v>
      </c>
      <c r="E42" s="28">
        <v>162458.06</v>
      </c>
    </row>
    <row r="43" spans="2:5" ht="18" customHeight="1" thickBot="1" x14ac:dyDescent="0.3">
      <c r="B43" s="22" t="s">
        <v>16</v>
      </c>
      <c r="C43" s="30">
        <v>297850</v>
      </c>
      <c r="D43" s="36">
        <v>635654.84</v>
      </c>
      <c r="E43" s="36">
        <v>635653.93999999994</v>
      </c>
    </row>
    <row r="44" spans="2:5" ht="30.75" customHeight="1" thickBot="1" x14ac:dyDescent="0.35">
      <c r="B44" s="15" t="s">
        <v>24</v>
      </c>
      <c r="C44" s="19">
        <f>SUM(C45:C47)</f>
        <v>200000</v>
      </c>
      <c r="D44" s="35">
        <f>SUM(D45:D47)</f>
        <v>183139.74</v>
      </c>
      <c r="E44" s="35">
        <f>SUM(E45:E47)</f>
        <v>183139.38</v>
      </c>
    </row>
    <row r="45" spans="2:5" ht="18" customHeight="1" x14ac:dyDescent="0.25">
      <c r="B45" s="23" t="s">
        <v>17</v>
      </c>
      <c r="C45" s="24">
        <v>175000</v>
      </c>
      <c r="D45" s="28">
        <v>155694.42000000001</v>
      </c>
      <c r="E45" s="28">
        <v>155694.42000000001</v>
      </c>
    </row>
    <row r="46" spans="2:5" ht="18" customHeight="1" x14ac:dyDescent="0.25">
      <c r="B46" s="23" t="s">
        <v>39</v>
      </c>
      <c r="C46" s="6"/>
      <c r="D46" s="28">
        <v>4339.8</v>
      </c>
      <c r="E46" s="28">
        <v>4339.4399999999996</v>
      </c>
    </row>
    <row r="47" spans="2:5" ht="18" customHeight="1" thickBot="1" x14ac:dyDescent="0.3">
      <c r="B47" s="25" t="s">
        <v>25</v>
      </c>
      <c r="C47" s="20">
        <v>25000</v>
      </c>
      <c r="D47" s="34">
        <v>23105.52</v>
      </c>
      <c r="E47" s="34">
        <v>23105.52</v>
      </c>
    </row>
    <row r="48" spans="2:5" ht="30.75" customHeight="1" thickBot="1" x14ac:dyDescent="0.35">
      <c r="B48" s="15" t="s">
        <v>26</v>
      </c>
      <c r="C48" s="19">
        <f>SUM(C49)</f>
        <v>3500</v>
      </c>
      <c r="D48" s="35">
        <f>SUM(D49)</f>
        <v>3755.26</v>
      </c>
      <c r="E48" s="35">
        <f>SUM(E49)</f>
        <v>3755.11</v>
      </c>
    </row>
    <row r="49" spans="2:5" ht="21.75" customHeight="1" thickBot="1" x14ac:dyDescent="0.3">
      <c r="B49" s="26" t="s">
        <v>27</v>
      </c>
      <c r="C49" s="20">
        <v>3500</v>
      </c>
      <c r="D49" s="34">
        <v>3755.26</v>
      </c>
      <c r="E49" s="34">
        <v>3755.11</v>
      </c>
    </row>
    <row r="50" spans="2:5" ht="30.75" customHeight="1" thickBot="1" x14ac:dyDescent="0.35">
      <c r="B50" s="15" t="s">
        <v>40</v>
      </c>
      <c r="C50" s="19">
        <f>SUM(C51:C53)</f>
        <v>400000</v>
      </c>
      <c r="D50" s="42">
        <f>SUM(D51:D53)</f>
        <v>400000</v>
      </c>
      <c r="E50" s="42">
        <f>SUM(E51:E53)</f>
        <v>399229.53</v>
      </c>
    </row>
    <row r="51" spans="2:5" ht="21.75" customHeight="1" x14ac:dyDescent="0.25">
      <c r="B51" s="23" t="s">
        <v>55</v>
      </c>
      <c r="C51" s="37">
        <v>400000</v>
      </c>
      <c r="D51" s="28">
        <f>28882+14689+24807.3+2656+274931.04</f>
        <v>345965.33999999997</v>
      </c>
      <c r="E51" s="28">
        <f>28882+14189+24536.83+2656+274931.04</f>
        <v>345194.87</v>
      </c>
    </row>
    <row r="52" spans="2:5" ht="21.75" customHeight="1" x14ac:dyDescent="0.25">
      <c r="B52" s="39" t="s">
        <v>56</v>
      </c>
      <c r="C52" s="40"/>
      <c r="D52" s="41">
        <v>54034.66</v>
      </c>
      <c r="E52" s="41">
        <v>54034.66</v>
      </c>
    </row>
    <row r="53" spans="2:5" ht="21.75" customHeight="1" thickBot="1" x14ac:dyDescent="0.3">
      <c r="B53" s="23" t="s">
        <v>43</v>
      </c>
      <c r="C53" s="20"/>
      <c r="D53" s="34"/>
      <c r="E53" s="34"/>
    </row>
    <row r="54" spans="2:5" ht="36" customHeight="1" thickBot="1" x14ac:dyDescent="0.35">
      <c r="B54" s="16" t="s">
        <v>5</v>
      </c>
      <c r="C54" s="21">
        <f>SUM(C14+C22+C44+C48+C50)</f>
        <v>28162190</v>
      </c>
      <c r="D54" s="5">
        <f>SUM(D14+D22+D44+D48+D50)</f>
        <v>35261482.25</v>
      </c>
      <c r="E54" s="5">
        <f>SUM(E14+E22+E44+E48+E50)</f>
        <v>35260630.520000003</v>
      </c>
    </row>
    <row r="55" spans="2:5" ht="18" customHeight="1" x14ac:dyDescent="0.2">
      <c r="B55" s="60"/>
      <c r="C55" s="60"/>
    </row>
    <row r="56" spans="2:5" ht="18" customHeight="1" x14ac:dyDescent="0.25">
      <c r="B56" s="48" t="s">
        <v>61</v>
      </c>
    </row>
    <row r="57" spans="2:5" ht="18" customHeight="1" x14ac:dyDescent="0.25">
      <c r="B57" s="48"/>
    </row>
    <row r="58" spans="2:5" ht="18" customHeight="1" x14ac:dyDescent="0.2">
      <c r="B58" s="14"/>
    </row>
    <row r="59" spans="2:5" ht="18" customHeight="1" x14ac:dyDescent="0.2">
      <c r="B59" s="43"/>
    </row>
    <row r="60" spans="2:5" ht="18" customHeight="1" x14ac:dyDescent="0.2">
      <c r="B60" s="38"/>
    </row>
    <row r="61" spans="2:5" ht="18" customHeight="1" x14ac:dyDescent="0.2">
      <c r="B61" s="38"/>
    </row>
  </sheetData>
  <mergeCells count="15">
    <mergeCell ref="B55:C55"/>
    <mergeCell ref="E11:E13"/>
    <mergeCell ref="E14:E15"/>
    <mergeCell ref="E22:E23"/>
    <mergeCell ref="B14:B15"/>
    <mergeCell ref="C14:C15"/>
    <mergeCell ref="D14:D15"/>
    <mergeCell ref="B22:B23"/>
    <mergeCell ref="C22:C23"/>
    <mergeCell ref="D22:D23"/>
    <mergeCell ref="B6:D6"/>
    <mergeCell ref="B7:D7"/>
    <mergeCell ref="B11:B13"/>
    <mergeCell ref="C11:C13"/>
    <mergeCell ref="D11:D13"/>
  </mergeCells>
  <pageMargins left="0.59055118110236227" right="0" top="0" bottom="0" header="0" footer="0"/>
  <pageSetup scale="65" orientation="portrait" r:id="rId1"/>
  <headerFooter alignWithMargins="0"/>
  <ignoredErrors>
    <ignoredError sqref="C40:E4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3"/>
  <sheetViews>
    <sheetView topLeftCell="A43" workbookViewId="0">
      <selection activeCell="B58" sqref="B58"/>
    </sheetView>
  </sheetViews>
  <sheetFormatPr baseColWidth="10" defaultRowHeight="18" customHeight="1" x14ac:dyDescent="0.2"/>
  <cols>
    <col min="1" max="1" width="4.140625" customWidth="1"/>
    <col min="2" max="2" width="66.7109375" customWidth="1"/>
    <col min="3" max="5" width="23.7109375" customWidth="1"/>
  </cols>
  <sheetData>
    <row r="1" spans="2:5" ht="18" customHeight="1" x14ac:dyDescent="0.2">
      <c r="B1" s="4" t="s">
        <v>38</v>
      </c>
    </row>
    <row r="2" spans="2:5" ht="18" customHeight="1" x14ac:dyDescent="0.2">
      <c r="B2" s="4" t="s">
        <v>3</v>
      </c>
    </row>
    <row r="3" spans="2:5" ht="18" customHeight="1" x14ac:dyDescent="0.2">
      <c r="B3" s="4" t="s">
        <v>4</v>
      </c>
    </row>
    <row r="4" spans="2:5" ht="10.5" customHeight="1" x14ac:dyDescent="0.2">
      <c r="B4" s="4"/>
    </row>
    <row r="5" spans="2:5" ht="28.5" customHeight="1" x14ac:dyDescent="0.35">
      <c r="B5" s="44" t="s">
        <v>48</v>
      </c>
      <c r="C5" s="44"/>
      <c r="D5" s="44"/>
      <c r="E5" s="45"/>
    </row>
    <row r="6" spans="2:5" ht="28.5" customHeight="1" x14ac:dyDescent="0.3">
      <c r="B6" s="49"/>
      <c r="C6" s="49"/>
      <c r="D6" s="49"/>
    </row>
    <row r="7" spans="2:5" ht="15" customHeight="1" x14ac:dyDescent="0.4">
      <c r="B7" s="50"/>
      <c r="C7" s="50"/>
      <c r="D7" s="50"/>
    </row>
    <row r="8" spans="2:5" ht="18" customHeight="1" x14ac:dyDescent="0.2">
      <c r="B8" s="2" t="s">
        <v>1</v>
      </c>
      <c r="C8" s="3"/>
    </row>
    <row r="9" spans="2:5" ht="18" customHeight="1" x14ac:dyDescent="0.2">
      <c r="B9" s="2" t="s">
        <v>2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51" t="s">
        <v>0</v>
      </c>
      <c r="C11" s="54" t="s">
        <v>54</v>
      </c>
      <c r="D11" s="57" t="s">
        <v>46</v>
      </c>
      <c r="E11" s="57" t="s">
        <v>53</v>
      </c>
    </row>
    <row r="12" spans="2:5" ht="18" customHeight="1" x14ac:dyDescent="0.2">
      <c r="B12" s="52"/>
      <c r="C12" s="55"/>
      <c r="D12" s="58"/>
      <c r="E12" s="58"/>
    </row>
    <row r="13" spans="2:5" ht="6" customHeight="1" thickBot="1" x14ac:dyDescent="0.25">
      <c r="B13" s="53"/>
      <c r="C13" s="56"/>
      <c r="D13" s="59"/>
      <c r="E13" s="59"/>
    </row>
    <row r="14" spans="2:5" ht="18" customHeight="1" x14ac:dyDescent="0.2">
      <c r="B14" s="63" t="s">
        <v>6</v>
      </c>
      <c r="C14" s="65">
        <f>SUM(C16:C21)</f>
        <v>14672985</v>
      </c>
      <c r="D14" s="61">
        <f>SUM(D16:D21)</f>
        <v>14246715</v>
      </c>
      <c r="E14" s="61">
        <f>SUM(E16:E21)</f>
        <v>13599882.310000001</v>
      </c>
    </row>
    <row r="15" spans="2:5" ht="18" customHeight="1" thickBot="1" x14ac:dyDescent="0.25">
      <c r="B15" s="64"/>
      <c r="C15" s="66"/>
      <c r="D15" s="62"/>
      <c r="E15" s="62"/>
    </row>
    <row r="16" spans="2:5" ht="18" customHeight="1" x14ac:dyDescent="0.25">
      <c r="B16" s="17" t="s">
        <v>33</v>
      </c>
      <c r="C16" s="18">
        <v>12292130</v>
      </c>
      <c r="D16" s="28">
        <f>11305570.99+511090</f>
        <v>11816660.99</v>
      </c>
      <c r="E16" s="28">
        <f>11255162.4+141361.74</f>
        <v>11396524.140000001</v>
      </c>
    </row>
    <row r="17" spans="2:5" ht="18" customHeight="1" x14ac:dyDescent="0.25">
      <c r="B17" s="9" t="s">
        <v>34</v>
      </c>
      <c r="C17" s="18">
        <v>699545</v>
      </c>
      <c r="D17" s="28">
        <f>694459.56+143616</f>
        <v>838075.56</v>
      </c>
      <c r="E17" s="28">
        <f>657656.47+12349.15</f>
        <v>670005.62</v>
      </c>
    </row>
    <row r="18" spans="2:5" ht="18" customHeight="1" x14ac:dyDescent="0.25">
      <c r="B18" s="9" t="s">
        <v>44</v>
      </c>
      <c r="C18" s="18"/>
      <c r="D18" s="28"/>
      <c r="E18" s="28"/>
    </row>
    <row r="19" spans="2:5" ht="18" customHeight="1" x14ac:dyDescent="0.25">
      <c r="B19" s="9" t="s">
        <v>35</v>
      </c>
      <c r="C19" s="18">
        <v>892695</v>
      </c>
      <c r="D19" s="28">
        <f>1038134.04+36084</f>
        <v>1074218.04</v>
      </c>
      <c r="E19" s="28">
        <f>1038091.87+11290.42</f>
        <v>1049382.29</v>
      </c>
    </row>
    <row r="20" spans="2:5" ht="18" customHeight="1" x14ac:dyDescent="0.25">
      <c r="B20" s="10" t="s">
        <v>36</v>
      </c>
      <c r="C20" s="18">
        <v>788615</v>
      </c>
      <c r="D20" s="28">
        <f>478865.16+34499</f>
        <v>513364.16</v>
      </c>
      <c r="E20" s="28">
        <f>470980.08+8593.93</f>
        <v>479574.01</v>
      </c>
    </row>
    <row r="21" spans="2:5" ht="18" customHeight="1" thickBot="1" x14ac:dyDescent="0.3">
      <c r="B21" s="32" t="s">
        <v>37</v>
      </c>
      <c r="C21" s="33"/>
      <c r="D21" s="31">
        <v>4396.25</v>
      </c>
      <c r="E21" s="31">
        <v>4396.25</v>
      </c>
    </row>
    <row r="22" spans="2:5" ht="18" customHeight="1" x14ac:dyDescent="0.2">
      <c r="B22" s="63" t="s">
        <v>31</v>
      </c>
      <c r="C22" s="65">
        <f>C24+C29+C31+C37+C40+C43</f>
        <v>13793880</v>
      </c>
      <c r="D22" s="61">
        <f>D24+D29+D31+D37+D40+D43</f>
        <v>20709091.000000004</v>
      </c>
      <c r="E22" s="61">
        <f>E24+E29+E31+E37+E40+E43</f>
        <v>20709027.240000002</v>
      </c>
    </row>
    <row r="23" spans="2:5" ht="18" customHeight="1" thickBot="1" x14ac:dyDescent="0.25">
      <c r="B23" s="64"/>
      <c r="C23" s="66"/>
      <c r="D23" s="62"/>
      <c r="E23" s="62"/>
    </row>
    <row r="24" spans="2:5" ht="18" customHeight="1" x14ac:dyDescent="0.25">
      <c r="B24" s="8" t="s">
        <v>13</v>
      </c>
      <c r="C24" s="27">
        <f>SUM(C25:C28)</f>
        <v>1335750</v>
      </c>
      <c r="D24" s="27">
        <f>SUM(D25:D28)</f>
        <v>1987037.23</v>
      </c>
      <c r="E24" s="27">
        <f>SUM(E25:E28)</f>
        <v>1986973.47</v>
      </c>
    </row>
    <row r="25" spans="2:5" ht="18" customHeight="1" x14ac:dyDescent="0.25">
      <c r="B25" s="9" t="s">
        <v>7</v>
      </c>
      <c r="C25" s="28">
        <v>764730</v>
      </c>
      <c r="D25" s="28">
        <f>861111.96+40991.49</f>
        <v>902103.45</v>
      </c>
      <c r="E25" s="28">
        <f>861111.96+40991.49</f>
        <v>902103.45</v>
      </c>
    </row>
    <row r="26" spans="2:5" ht="18" customHeight="1" x14ac:dyDescent="0.25">
      <c r="B26" s="9" t="s">
        <v>8</v>
      </c>
      <c r="C26" s="28">
        <v>382630</v>
      </c>
      <c r="D26" s="28">
        <f>797307.94+70734.51</f>
        <v>868042.45</v>
      </c>
      <c r="E26" s="28">
        <f>797307.94+70734.51</f>
        <v>868042.45</v>
      </c>
    </row>
    <row r="27" spans="2:5" ht="18" customHeight="1" x14ac:dyDescent="0.25">
      <c r="B27" s="9" t="s">
        <v>9</v>
      </c>
      <c r="C27" s="28">
        <v>185225</v>
      </c>
      <c r="D27" s="28">
        <v>212773.24</v>
      </c>
      <c r="E27" s="28">
        <v>212709.48</v>
      </c>
    </row>
    <row r="28" spans="2:5" ht="18" customHeight="1" x14ac:dyDescent="0.25">
      <c r="B28" s="10" t="s">
        <v>10</v>
      </c>
      <c r="C28" s="28">
        <v>3165</v>
      </c>
      <c r="D28" s="28">
        <f>3768.09+350</f>
        <v>4118.09</v>
      </c>
      <c r="E28" s="28">
        <f>3768.09+350</f>
        <v>4118.09</v>
      </c>
    </row>
    <row r="29" spans="2:5" ht="18" customHeight="1" x14ac:dyDescent="0.25">
      <c r="B29" s="11" t="s">
        <v>14</v>
      </c>
      <c r="C29" s="7">
        <f>SUM(C30)</f>
        <v>11111985</v>
      </c>
      <c r="D29" s="29">
        <f>SUM(D30)</f>
        <v>16842658.16</v>
      </c>
      <c r="E29" s="29">
        <f>SUM(E30)</f>
        <v>16842658.16</v>
      </c>
    </row>
    <row r="30" spans="2:5" ht="18" customHeight="1" x14ac:dyDescent="0.25">
      <c r="B30" s="12" t="s">
        <v>18</v>
      </c>
      <c r="C30" s="28">
        <v>11111985</v>
      </c>
      <c r="D30" s="28">
        <f>11474551.16+5368107</f>
        <v>16842658.16</v>
      </c>
      <c r="E30" s="28">
        <f>11474551.16+5368107</f>
        <v>16842658.16</v>
      </c>
    </row>
    <row r="31" spans="2:5" ht="18" customHeight="1" x14ac:dyDescent="0.25">
      <c r="B31" s="13" t="s">
        <v>23</v>
      </c>
      <c r="C31" s="29">
        <f>SUM(C32:C36)</f>
        <v>434010</v>
      </c>
      <c r="D31" s="29">
        <f>SUM(D32:D36)</f>
        <v>548886.23</v>
      </c>
      <c r="E31" s="29">
        <f>SUM(E32:E36)</f>
        <v>548886.23</v>
      </c>
    </row>
    <row r="32" spans="2:5" ht="18" customHeight="1" x14ac:dyDescent="0.25">
      <c r="B32" s="10" t="s">
        <v>22</v>
      </c>
      <c r="C32" s="28">
        <v>39550</v>
      </c>
      <c r="D32" s="28">
        <v>41709.81</v>
      </c>
      <c r="E32" s="28">
        <v>41709.81</v>
      </c>
    </row>
    <row r="33" spans="2:5" ht="18" customHeight="1" x14ac:dyDescent="0.25">
      <c r="B33" s="10" t="s">
        <v>32</v>
      </c>
      <c r="C33" s="28"/>
      <c r="D33" s="28">
        <v>29937.06</v>
      </c>
      <c r="E33" s="28">
        <v>29937.06</v>
      </c>
    </row>
    <row r="34" spans="2:5" ht="18" customHeight="1" x14ac:dyDescent="0.25">
      <c r="B34" s="10" t="s">
        <v>21</v>
      </c>
      <c r="C34" s="28">
        <f>175000+16895</f>
        <v>191895</v>
      </c>
      <c r="D34" s="28">
        <f>149591.55+57061.86</f>
        <v>206653.40999999997</v>
      </c>
      <c r="E34" s="28">
        <f>149591.55+57061.86</f>
        <v>206653.40999999997</v>
      </c>
    </row>
    <row r="35" spans="2:5" ht="18" customHeight="1" x14ac:dyDescent="0.25">
      <c r="B35" s="10" t="s">
        <v>19</v>
      </c>
      <c r="C35" s="28">
        <v>151885</v>
      </c>
      <c r="D35" s="28">
        <v>156025.97</v>
      </c>
      <c r="E35" s="28">
        <v>156025.97</v>
      </c>
    </row>
    <row r="36" spans="2:5" ht="18" customHeight="1" x14ac:dyDescent="0.25">
      <c r="B36" s="10" t="s">
        <v>20</v>
      </c>
      <c r="C36" s="28">
        <v>50680</v>
      </c>
      <c r="D36" s="28">
        <v>114559.98</v>
      </c>
      <c r="E36" s="28">
        <v>114559.98</v>
      </c>
    </row>
    <row r="37" spans="2:5" ht="18" customHeight="1" x14ac:dyDescent="0.25">
      <c r="B37" s="13" t="s">
        <v>28</v>
      </c>
      <c r="C37" s="29">
        <f>SUM(C38:C39)</f>
        <v>197355</v>
      </c>
      <c r="D37" s="29">
        <f>SUM(D38:D39)</f>
        <v>133118.35</v>
      </c>
      <c r="E37" s="29">
        <f>SUM(E38:E39)</f>
        <v>133118.35</v>
      </c>
    </row>
    <row r="38" spans="2:5" ht="18" customHeight="1" x14ac:dyDescent="0.25">
      <c r="B38" s="10" t="s">
        <v>29</v>
      </c>
      <c r="C38" s="28">
        <v>137355</v>
      </c>
      <c r="D38" s="28">
        <v>44730.01</v>
      </c>
      <c r="E38" s="28">
        <v>44730.01</v>
      </c>
    </row>
    <row r="39" spans="2:5" ht="18" customHeight="1" x14ac:dyDescent="0.25">
      <c r="B39" s="10" t="s">
        <v>30</v>
      </c>
      <c r="C39" s="28">
        <v>60000</v>
      </c>
      <c r="D39" s="28">
        <v>88388.34</v>
      </c>
      <c r="E39" s="28">
        <v>88388.34</v>
      </c>
    </row>
    <row r="40" spans="2:5" ht="18" customHeight="1" x14ac:dyDescent="0.25">
      <c r="B40" s="13" t="s">
        <v>15</v>
      </c>
      <c r="C40" s="29">
        <f>SUM(C41:C42)</f>
        <v>212060</v>
      </c>
      <c r="D40" s="29">
        <f>SUM(D41:D42)</f>
        <v>239140</v>
      </c>
      <c r="E40" s="29">
        <f>SUM(E41:E42)</f>
        <v>239140</v>
      </c>
    </row>
    <row r="41" spans="2:5" ht="18" customHeight="1" x14ac:dyDescent="0.25">
      <c r="B41" s="10" t="s">
        <v>11</v>
      </c>
      <c r="C41" s="28">
        <v>50000</v>
      </c>
      <c r="D41" s="28">
        <v>73310</v>
      </c>
      <c r="E41" s="28">
        <v>73310</v>
      </c>
    </row>
    <row r="42" spans="2:5" ht="18" customHeight="1" x14ac:dyDescent="0.25">
      <c r="B42" s="10" t="s">
        <v>12</v>
      </c>
      <c r="C42" s="28">
        <v>162060</v>
      </c>
      <c r="D42" s="28">
        <f>155830+10000</f>
        <v>165830</v>
      </c>
      <c r="E42" s="28">
        <f>155830+10000</f>
        <v>165830</v>
      </c>
    </row>
    <row r="43" spans="2:5" ht="18" customHeight="1" thickBot="1" x14ac:dyDescent="0.3">
      <c r="B43" s="22" t="s">
        <v>16</v>
      </c>
      <c r="C43" s="30">
        <v>502720</v>
      </c>
      <c r="D43" s="36">
        <v>958251.03</v>
      </c>
      <c r="E43" s="36">
        <v>958251.03</v>
      </c>
    </row>
    <row r="44" spans="2:5" ht="30.75" customHeight="1" thickBot="1" x14ac:dyDescent="0.35">
      <c r="B44" s="15" t="s">
        <v>24</v>
      </c>
      <c r="C44" s="19">
        <f>SUM(C45:C47)</f>
        <v>200000</v>
      </c>
      <c r="D44" s="35">
        <f>SUM(D45:D47)</f>
        <v>173373.95</v>
      </c>
      <c r="E44" s="35">
        <f>SUM(E45:E47)</f>
        <v>173373.24</v>
      </c>
    </row>
    <row r="45" spans="2:5" ht="18" customHeight="1" x14ac:dyDescent="0.25">
      <c r="B45" s="23" t="s">
        <v>17</v>
      </c>
      <c r="C45" s="24">
        <v>175000</v>
      </c>
      <c r="D45" s="28">
        <v>155098.48000000001</v>
      </c>
      <c r="E45" s="28">
        <v>155098.34</v>
      </c>
    </row>
    <row r="46" spans="2:5" ht="18" customHeight="1" x14ac:dyDescent="0.25">
      <c r="B46" s="23" t="s">
        <v>39</v>
      </c>
      <c r="C46" s="6"/>
      <c r="D46" s="28">
        <v>296.47000000000003</v>
      </c>
      <c r="E46" s="28">
        <v>296.47000000000003</v>
      </c>
    </row>
    <row r="47" spans="2:5" ht="18" customHeight="1" thickBot="1" x14ac:dyDescent="0.3">
      <c r="B47" s="25" t="s">
        <v>25</v>
      </c>
      <c r="C47" s="20">
        <v>25000</v>
      </c>
      <c r="D47" s="34">
        <f>17891.94+87.06</f>
        <v>17979</v>
      </c>
      <c r="E47" s="34">
        <f>17891.37+87.06</f>
        <v>17978.43</v>
      </c>
    </row>
    <row r="48" spans="2:5" ht="30.75" customHeight="1" thickBot="1" x14ac:dyDescent="0.35">
      <c r="B48" s="15" t="s">
        <v>26</v>
      </c>
      <c r="C48" s="19">
        <f>SUM(C49)</f>
        <v>3400</v>
      </c>
      <c r="D48" s="35">
        <f>SUM(D49)</f>
        <v>2345.0500000000002</v>
      </c>
      <c r="E48" s="35">
        <f>SUM(E49)</f>
        <v>2345.0500000000002</v>
      </c>
    </row>
    <row r="49" spans="2:5" ht="21.75" customHeight="1" thickBot="1" x14ac:dyDescent="0.3">
      <c r="B49" s="26" t="s">
        <v>27</v>
      </c>
      <c r="C49" s="20">
        <v>3400</v>
      </c>
      <c r="D49" s="34">
        <v>2345.0500000000002</v>
      </c>
      <c r="E49" s="34">
        <v>2345.0500000000002</v>
      </c>
    </row>
    <row r="50" spans="2:5" ht="30.75" customHeight="1" thickBot="1" x14ac:dyDescent="0.35">
      <c r="B50" s="15" t="s">
        <v>40</v>
      </c>
      <c r="C50" s="19">
        <f>SUM(C51:C53)</f>
        <v>0</v>
      </c>
      <c r="D50" s="42">
        <f>SUM(D51:D55)</f>
        <v>4941993</v>
      </c>
      <c r="E50" s="42">
        <f>SUM(E51:E55)</f>
        <v>4941597.51</v>
      </c>
    </row>
    <row r="51" spans="2:5" ht="21.75" customHeight="1" x14ac:dyDescent="0.25">
      <c r="B51" s="23" t="s">
        <v>58</v>
      </c>
      <c r="C51" s="37"/>
      <c r="D51" s="28">
        <f>200783.49+10818+1669+81450.55+17769.6</f>
        <v>312490.63999999996</v>
      </c>
      <c r="E51" s="28">
        <f>200783.49+10818+1669+81450.55+17769.6</f>
        <v>312490.63999999996</v>
      </c>
    </row>
    <row r="52" spans="2:5" ht="21.75" customHeight="1" x14ac:dyDescent="0.25">
      <c r="B52" s="39" t="s">
        <v>42</v>
      </c>
      <c r="C52" s="40"/>
      <c r="D52" s="41">
        <v>8019.87</v>
      </c>
      <c r="E52" s="41">
        <v>8019.87</v>
      </c>
    </row>
    <row r="53" spans="2:5" ht="21.75" customHeight="1" x14ac:dyDescent="0.25">
      <c r="B53" s="23" t="s">
        <v>56</v>
      </c>
      <c r="C53" s="40"/>
      <c r="D53" s="41">
        <f>261355.64+28732.01</f>
        <v>290087.65000000002</v>
      </c>
      <c r="E53" s="41">
        <f>261355.64+28732.01</f>
        <v>290087.65000000002</v>
      </c>
    </row>
    <row r="54" spans="2:5" ht="21.75" customHeight="1" x14ac:dyDescent="0.25">
      <c r="B54" s="23" t="s">
        <v>59</v>
      </c>
      <c r="C54" s="40"/>
      <c r="D54" s="41">
        <v>37827.839999999997</v>
      </c>
      <c r="E54" s="41">
        <v>37432.35</v>
      </c>
    </row>
    <row r="55" spans="2:5" ht="21.75" customHeight="1" thickBot="1" x14ac:dyDescent="0.3">
      <c r="B55" s="23" t="s">
        <v>57</v>
      </c>
      <c r="C55" s="20"/>
      <c r="D55" s="34">
        <v>4293567</v>
      </c>
      <c r="E55" s="34">
        <v>4293567</v>
      </c>
    </row>
    <row r="56" spans="2:5" ht="36" customHeight="1" thickBot="1" x14ac:dyDescent="0.35">
      <c r="B56" s="16" t="s">
        <v>5</v>
      </c>
      <c r="C56" s="21">
        <f>SUM(C14+C22+C44+C48+C50)</f>
        <v>28670265</v>
      </c>
      <c r="D56" s="5">
        <f>SUM(D14+D22+D44+D48+D50)</f>
        <v>40073518</v>
      </c>
      <c r="E56" s="5">
        <f>SUM(E14+E22+E44+E48+E50)</f>
        <v>39426225.350000001</v>
      </c>
    </row>
    <row r="57" spans="2:5" ht="18" customHeight="1" x14ac:dyDescent="0.2">
      <c r="B57" s="60"/>
      <c r="C57" s="60"/>
    </row>
    <row r="58" spans="2:5" ht="18" customHeight="1" x14ac:dyDescent="0.25">
      <c r="B58" s="48" t="s">
        <v>61</v>
      </c>
    </row>
    <row r="59" spans="2:5" ht="18" customHeight="1" x14ac:dyDescent="0.2">
      <c r="B59" s="67"/>
      <c r="C59" s="68"/>
      <c r="D59" s="68"/>
    </row>
    <row r="60" spans="2:5" ht="18" customHeight="1" x14ac:dyDescent="0.2">
      <c r="B60" s="14"/>
    </row>
    <row r="61" spans="2:5" ht="18" customHeight="1" x14ac:dyDescent="0.2">
      <c r="B61" s="43"/>
    </row>
    <row r="62" spans="2:5" ht="18" customHeight="1" x14ac:dyDescent="0.2">
      <c r="B62" s="38"/>
    </row>
    <row r="63" spans="2:5" ht="18" customHeight="1" x14ac:dyDescent="0.2">
      <c r="B63" s="38"/>
    </row>
  </sheetData>
  <mergeCells count="16">
    <mergeCell ref="B57:C57"/>
    <mergeCell ref="B59:D59"/>
    <mergeCell ref="E11:E13"/>
    <mergeCell ref="E14:E15"/>
    <mergeCell ref="E22:E23"/>
    <mergeCell ref="B14:B15"/>
    <mergeCell ref="C14:C15"/>
    <mergeCell ref="D14:D15"/>
    <mergeCell ref="B22:B23"/>
    <mergeCell ref="C22:C23"/>
    <mergeCell ref="D22:D23"/>
    <mergeCell ref="B6:D6"/>
    <mergeCell ref="B7:D7"/>
    <mergeCell ref="B11:B13"/>
    <mergeCell ref="C11:C13"/>
    <mergeCell ref="D11:D13"/>
  </mergeCells>
  <pageMargins left="0.59055118110236227" right="0" top="0" bottom="0" header="0" footer="0"/>
  <pageSetup scale="65" orientation="portrait" r:id="rId1"/>
  <headerFooter alignWithMargins="0"/>
  <ignoredErrors>
    <ignoredError sqref="C40:E40" formulaRange="1"/>
    <ignoredError sqref="D5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1"/>
  <sheetViews>
    <sheetView topLeftCell="A40" workbookViewId="0">
      <selection activeCell="B58" sqref="B58"/>
    </sheetView>
  </sheetViews>
  <sheetFormatPr baseColWidth="10" defaultRowHeight="18" customHeight="1" x14ac:dyDescent="0.2"/>
  <cols>
    <col min="1" max="1" width="4.140625" customWidth="1"/>
    <col min="2" max="2" width="66.7109375" customWidth="1"/>
    <col min="3" max="4" width="23.7109375" customWidth="1"/>
    <col min="5" max="5" width="23.28515625" customWidth="1"/>
  </cols>
  <sheetData>
    <row r="1" spans="2:5" ht="18" customHeight="1" x14ac:dyDescent="0.2">
      <c r="B1" s="4" t="s">
        <v>38</v>
      </c>
    </row>
    <row r="2" spans="2:5" ht="18" customHeight="1" x14ac:dyDescent="0.2">
      <c r="B2" s="4" t="s">
        <v>3</v>
      </c>
    </row>
    <row r="3" spans="2:5" ht="18" customHeight="1" x14ac:dyDescent="0.2">
      <c r="B3" s="4" t="s">
        <v>4</v>
      </c>
    </row>
    <row r="4" spans="2:5" ht="10.5" customHeight="1" x14ac:dyDescent="0.2">
      <c r="B4" s="4"/>
    </row>
    <row r="5" spans="2:5" ht="28.5" customHeight="1" x14ac:dyDescent="0.35">
      <c r="B5" s="44" t="s">
        <v>52</v>
      </c>
      <c r="C5" s="44"/>
      <c r="D5" s="44"/>
      <c r="E5" s="45"/>
    </row>
    <row r="6" spans="2:5" ht="28.5" customHeight="1" x14ac:dyDescent="0.3">
      <c r="B6" s="49"/>
      <c r="C6" s="49"/>
      <c r="D6" s="49"/>
    </row>
    <row r="7" spans="2:5" ht="15" customHeight="1" x14ac:dyDescent="0.4">
      <c r="B7" s="50"/>
      <c r="C7" s="50"/>
      <c r="D7" s="50"/>
    </row>
    <row r="8" spans="2:5" ht="18" customHeight="1" x14ac:dyDescent="0.2">
      <c r="B8" s="2" t="s">
        <v>1</v>
      </c>
      <c r="C8" s="3"/>
    </row>
    <row r="9" spans="2:5" ht="18" customHeight="1" x14ac:dyDescent="0.2">
      <c r="B9" s="2" t="s">
        <v>2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51" t="s">
        <v>0</v>
      </c>
      <c r="C11" s="54" t="s">
        <v>54</v>
      </c>
      <c r="D11" s="57" t="s">
        <v>46</v>
      </c>
      <c r="E11" s="57" t="s">
        <v>53</v>
      </c>
    </row>
    <row r="12" spans="2:5" ht="18" customHeight="1" x14ac:dyDescent="0.2">
      <c r="B12" s="52"/>
      <c r="C12" s="55"/>
      <c r="D12" s="58"/>
      <c r="E12" s="58"/>
    </row>
    <row r="13" spans="2:5" ht="6" customHeight="1" thickBot="1" x14ac:dyDescent="0.25">
      <c r="B13" s="53"/>
      <c r="C13" s="56"/>
      <c r="D13" s="59"/>
      <c r="E13" s="59"/>
    </row>
    <row r="14" spans="2:5" ht="18" customHeight="1" x14ac:dyDescent="0.2">
      <c r="B14" s="63" t="s">
        <v>6</v>
      </c>
      <c r="C14" s="65">
        <f>SUM(C16:C21)</f>
        <v>14595625</v>
      </c>
      <c r="D14" s="61">
        <f>SUM(D16:D21)</f>
        <v>15552753.099999998</v>
      </c>
      <c r="E14" s="61">
        <f>SUM(E16:E21)</f>
        <v>15552730.649999999</v>
      </c>
    </row>
    <row r="15" spans="2:5" ht="18" customHeight="1" thickBot="1" x14ac:dyDescent="0.25">
      <c r="B15" s="64"/>
      <c r="C15" s="66"/>
      <c r="D15" s="62"/>
      <c r="E15" s="62"/>
    </row>
    <row r="16" spans="2:5" ht="18" customHeight="1" x14ac:dyDescent="0.25">
      <c r="B16" s="17" t="s">
        <v>33</v>
      </c>
      <c r="C16" s="18">
        <v>12216925</v>
      </c>
      <c r="D16" s="28">
        <f>12085013.07+989478.78</f>
        <v>13074491.85</v>
      </c>
      <c r="E16" s="28">
        <f>12085012.16+989478.07</f>
        <v>13074490.23</v>
      </c>
    </row>
    <row r="17" spans="2:5" ht="18" customHeight="1" x14ac:dyDescent="0.25">
      <c r="B17" s="9" t="s">
        <v>34</v>
      </c>
      <c r="C17" s="18">
        <v>695815</v>
      </c>
      <c r="D17" s="28">
        <f>636234.9+68416.85</f>
        <v>704651.75</v>
      </c>
      <c r="E17" s="28">
        <f>636234.53+68416.74</f>
        <v>704651.27</v>
      </c>
    </row>
    <row r="18" spans="2:5" ht="18" customHeight="1" x14ac:dyDescent="0.25">
      <c r="B18" s="9" t="s">
        <v>44</v>
      </c>
      <c r="C18" s="18"/>
      <c r="D18" s="28"/>
      <c r="E18" s="28"/>
    </row>
    <row r="19" spans="2:5" ht="18" customHeight="1" x14ac:dyDescent="0.25">
      <c r="B19" s="9" t="s">
        <v>35</v>
      </c>
      <c r="C19" s="18">
        <v>1204020</v>
      </c>
      <c r="D19" s="28">
        <f>1069284.51+78540.01</f>
        <v>1147824.52</v>
      </c>
      <c r="E19" s="28">
        <f>1069281.76+78540.01</f>
        <v>1147821.77</v>
      </c>
    </row>
    <row r="20" spans="2:5" ht="18" customHeight="1" x14ac:dyDescent="0.25">
      <c r="B20" s="10" t="s">
        <v>36</v>
      </c>
      <c r="C20" s="18">
        <v>478865</v>
      </c>
      <c r="D20" s="28">
        <f>555791.69+60022.92</f>
        <v>615814.61</v>
      </c>
      <c r="E20" s="28">
        <f>555774.36+60022.65</f>
        <v>615797.01</v>
      </c>
    </row>
    <row r="21" spans="2:5" ht="18" customHeight="1" thickBot="1" x14ac:dyDescent="0.3">
      <c r="B21" s="32" t="s">
        <v>37</v>
      </c>
      <c r="C21" s="33"/>
      <c r="D21" s="31">
        <v>9970.3700000000008</v>
      </c>
      <c r="E21" s="31">
        <v>9970.3700000000008</v>
      </c>
    </row>
    <row r="22" spans="2:5" ht="18" customHeight="1" x14ac:dyDescent="0.2">
      <c r="B22" s="63" t="s">
        <v>31</v>
      </c>
      <c r="C22" s="65">
        <f>C24+C29+C31+C37+C40+C43</f>
        <v>17147845</v>
      </c>
      <c r="D22" s="61">
        <f>D24+D29+D31+D37+D40+D43</f>
        <v>24499725.999999996</v>
      </c>
      <c r="E22" s="61">
        <f>E24+E29+E31+E37+E40+E43</f>
        <v>24490600.239999995</v>
      </c>
    </row>
    <row r="23" spans="2:5" ht="18" customHeight="1" thickBot="1" x14ac:dyDescent="0.25">
      <c r="B23" s="64"/>
      <c r="C23" s="66"/>
      <c r="D23" s="62"/>
      <c r="E23" s="62"/>
    </row>
    <row r="24" spans="2:5" ht="18" customHeight="1" x14ac:dyDescent="0.25">
      <c r="B24" s="8" t="s">
        <v>13</v>
      </c>
      <c r="C24" s="27">
        <f>SUM(C25:C28)</f>
        <v>1603265</v>
      </c>
      <c r="D24" s="27">
        <f>SUM(D25:D28)</f>
        <v>2337859.5</v>
      </c>
      <c r="E24" s="27">
        <f>SUM(E25:E28)</f>
        <v>2328733.7399999998</v>
      </c>
    </row>
    <row r="25" spans="2:5" ht="18" customHeight="1" x14ac:dyDescent="0.25">
      <c r="B25" s="9" t="s">
        <v>7</v>
      </c>
      <c r="C25" s="28">
        <v>765000</v>
      </c>
      <c r="D25" s="28">
        <f>781002.63+174533.03</f>
        <v>955535.66</v>
      </c>
      <c r="E25" s="28">
        <f>781002.63+169056.49</f>
        <v>950059.12</v>
      </c>
    </row>
    <row r="26" spans="2:5" ht="18" customHeight="1" x14ac:dyDescent="0.25">
      <c r="B26" s="9" t="s">
        <v>8</v>
      </c>
      <c r="C26" s="28">
        <v>700000</v>
      </c>
      <c r="D26" s="28">
        <f>912686.83+231021.69</f>
        <v>1143708.52</v>
      </c>
      <c r="E26" s="28">
        <f>912686.83+227887.47</f>
        <v>1140574.3</v>
      </c>
    </row>
    <row r="27" spans="2:5" ht="18" customHeight="1" x14ac:dyDescent="0.25">
      <c r="B27" s="9" t="s">
        <v>9</v>
      </c>
      <c r="C27" s="28">
        <v>134160</v>
      </c>
      <c r="D27" s="28">
        <f>137895.03+98017.77</f>
        <v>235912.8</v>
      </c>
      <c r="E27" s="28">
        <f>137895.03+97802.77</f>
        <v>235697.8</v>
      </c>
    </row>
    <row r="28" spans="2:5" ht="18" customHeight="1" x14ac:dyDescent="0.25">
      <c r="B28" s="10" t="s">
        <v>10</v>
      </c>
      <c r="C28" s="28">
        <v>4105</v>
      </c>
      <c r="D28" s="28">
        <f>1943.07+759.45</f>
        <v>2702.52</v>
      </c>
      <c r="E28" s="28">
        <f>1943.07+459.45</f>
        <v>2402.52</v>
      </c>
    </row>
    <row r="29" spans="2:5" ht="18" customHeight="1" x14ac:dyDescent="0.25">
      <c r="B29" s="11" t="s">
        <v>14</v>
      </c>
      <c r="C29" s="7">
        <f>SUM(C30)</f>
        <v>14697105</v>
      </c>
      <c r="D29" s="29">
        <f>SUM(D30)</f>
        <v>18834855.829999998</v>
      </c>
      <c r="E29" s="29">
        <f>SUM(E30)</f>
        <v>18834855.829999998</v>
      </c>
    </row>
    <row r="30" spans="2:5" ht="18" customHeight="1" x14ac:dyDescent="0.25">
      <c r="B30" s="12" t="s">
        <v>18</v>
      </c>
      <c r="C30" s="28">
        <v>14697105</v>
      </c>
      <c r="D30" s="28">
        <f>15257691.76+3577164.07</f>
        <v>18834855.829999998</v>
      </c>
      <c r="E30" s="28">
        <f>15257691.76+3577164.07</f>
        <v>18834855.829999998</v>
      </c>
    </row>
    <row r="31" spans="2:5" ht="18" customHeight="1" x14ac:dyDescent="0.25">
      <c r="B31" s="13" t="s">
        <v>23</v>
      </c>
      <c r="C31" s="29">
        <f>SUM(C32:C36)</f>
        <v>384585</v>
      </c>
      <c r="D31" s="29">
        <f>SUM(D32:D36)</f>
        <v>978371.14999999991</v>
      </c>
      <c r="E31" s="29">
        <f>SUM(E32:E36)</f>
        <v>978371.14999999991</v>
      </c>
    </row>
    <row r="32" spans="2:5" ht="18" customHeight="1" x14ac:dyDescent="0.25">
      <c r="B32" s="10" t="s">
        <v>22</v>
      </c>
      <c r="C32" s="28">
        <v>45000</v>
      </c>
      <c r="D32" s="28">
        <f>29446.62+19200</f>
        <v>48646.619999999995</v>
      </c>
      <c r="E32" s="28">
        <f>29446.62+19200</f>
        <v>48646.619999999995</v>
      </c>
    </row>
    <row r="33" spans="2:5" ht="18" customHeight="1" x14ac:dyDescent="0.25">
      <c r="B33" s="10" t="s">
        <v>32</v>
      </c>
      <c r="C33" s="28"/>
      <c r="D33" s="28">
        <f>71233.72+114762.16</f>
        <v>185995.88</v>
      </c>
      <c r="E33" s="28">
        <f>71233.72+114762.16</f>
        <v>185995.88</v>
      </c>
    </row>
    <row r="34" spans="2:5" ht="18" customHeight="1" x14ac:dyDescent="0.25">
      <c r="B34" s="10" t="s">
        <v>21</v>
      </c>
      <c r="C34" s="28">
        <f>117580+15630</f>
        <v>133210</v>
      </c>
      <c r="D34" s="28">
        <f>131621.15+48163.65+12056.15+30000</f>
        <v>221840.94999999998</v>
      </c>
      <c r="E34" s="28">
        <f>131621.15+48163.65+12056.15+30000</f>
        <v>221840.94999999998</v>
      </c>
    </row>
    <row r="35" spans="2:5" ht="18" customHeight="1" x14ac:dyDescent="0.25">
      <c r="B35" s="10" t="s">
        <v>19</v>
      </c>
      <c r="C35" s="28">
        <v>154280</v>
      </c>
      <c r="D35" s="28">
        <v>446882.91</v>
      </c>
      <c r="E35" s="28">
        <v>446882.91</v>
      </c>
    </row>
    <row r="36" spans="2:5" ht="18" customHeight="1" x14ac:dyDescent="0.25">
      <c r="B36" s="10" t="s">
        <v>20</v>
      </c>
      <c r="C36" s="28">
        <v>52095</v>
      </c>
      <c r="D36" s="28">
        <f>69413.98+5590.81</f>
        <v>75004.789999999994</v>
      </c>
      <c r="E36" s="28">
        <f>69413.98+5590.81</f>
        <v>75004.789999999994</v>
      </c>
    </row>
    <row r="37" spans="2:5" ht="18" customHeight="1" x14ac:dyDescent="0.25">
      <c r="B37" s="13" t="s">
        <v>28</v>
      </c>
      <c r="C37" s="29">
        <f>SUM(C38:C39)</f>
        <v>112070</v>
      </c>
      <c r="D37" s="29">
        <f>SUM(D38:D39)</f>
        <v>151289.68</v>
      </c>
      <c r="E37" s="29">
        <f>SUM(E38:E39)</f>
        <v>151289.68</v>
      </c>
    </row>
    <row r="38" spans="2:5" ht="18" customHeight="1" x14ac:dyDescent="0.25">
      <c r="B38" s="10" t="s">
        <v>29</v>
      </c>
      <c r="C38" s="28">
        <v>52070</v>
      </c>
      <c r="D38" s="28">
        <f>51662.17+5164</f>
        <v>56826.17</v>
      </c>
      <c r="E38" s="28">
        <f>51662.17+5164</f>
        <v>56826.17</v>
      </c>
    </row>
    <row r="39" spans="2:5" ht="18" customHeight="1" x14ac:dyDescent="0.25">
      <c r="B39" s="10" t="s">
        <v>30</v>
      </c>
      <c r="C39" s="28">
        <f>60000</f>
        <v>60000</v>
      </c>
      <c r="D39" s="28">
        <f>52463.51+42000</f>
        <v>94463.510000000009</v>
      </c>
      <c r="E39" s="28">
        <f>52463.51+42000</f>
        <v>94463.510000000009</v>
      </c>
    </row>
    <row r="40" spans="2:5" ht="18" customHeight="1" x14ac:dyDescent="0.25">
      <c r="B40" s="13" t="s">
        <v>15</v>
      </c>
      <c r="C40" s="29">
        <f>SUM(C41:C42)</f>
        <v>224600</v>
      </c>
      <c r="D40" s="29">
        <f>SUM(D41:D42)</f>
        <v>250670</v>
      </c>
      <c r="E40" s="29">
        <f>SUM(E41:E42)</f>
        <v>250670</v>
      </c>
    </row>
    <row r="41" spans="2:5" ht="18" customHeight="1" x14ac:dyDescent="0.25">
      <c r="B41" s="10" t="s">
        <v>11</v>
      </c>
      <c r="C41" s="28">
        <v>50000</v>
      </c>
      <c r="D41" s="28">
        <v>76070</v>
      </c>
      <c r="E41" s="28">
        <v>76070</v>
      </c>
    </row>
    <row r="42" spans="2:5" ht="18" customHeight="1" x14ac:dyDescent="0.25">
      <c r="B42" s="10" t="s">
        <v>12</v>
      </c>
      <c r="C42" s="28">
        <v>174600</v>
      </c>
      <c r="D42" s="28">
        <v>174600</v>
      </c>
      <c r="E42" s="28">
        <v>174600</v>
      </c>
    </row>
    <row r="43" spans="2:5" ht="18" customHeight="1" thickBot="1" x14ac:dyDescent="0.3">
      <c r="B43" s="22" t="s">
        <v>16</v>
      </c>
      <c r="C43" s="30">
        <v>126220</v>
      </c>
      <c r="D43" s="36">
        <f>1459209.46+487470.38</f>
        <v>1946679.8399999999</v>
      </c>
      <c r="E43" s="36">
        <f>1459209.46+487470.38</f>
        <v>1946679.8399999999</v>
      </c>
    </row>
    <row r="44" spans="2:5" ht="30.75" customHeight="1" thickBot="1" x14ac:dyDescent="0.35">
      <c r="B44" s="15" t="s">
        <v>24</v>
      </c>
      <c r="C44" s="19">
        <f>SUM(C45:C47)</f>
        <v>183220</v>
      </c>
      <c r="D44" s="35">
        <f>SUM(D45:D47)</f>
        <v>199949.16</v>
      </c>
      <c r="E44" s="35">
        <f>SUM(E45:E47)</f>
        <v>199864.66</v>
      </c>
    </row>
    <row r="45" spans="2:5" ht="18" customHeight="1" x14ac:dyDescent="0.25">
      <c r="B45" s="23" t="s">
        <v>17</v>
      </c>
      <c r="C45" s="24">
        <v>159515</v>
      </c>
      <c r="D45" s="28">
        <v>164625.67000000001</v>
      </c>
      <c r="E45" s="28">
        <v>164541.17000000001</v>
      </c>
    </row>
    <row r="46" spans="2:5" ht="18" customHeight="1" x14ac:dyDescent="0.25">
      <c r="B46" s="23" t="s">
        <v>39</v>
      </c>
      <c r="C46" s="6"/>
      <c r="D46" s="28">
        <v>467.18</v>
      </c>
      <c r="E46" s="28">
        <v>467.18</v>
      </c>
    </row>
    <row r="47" spans="2:5" ht="18" customHeight="1" thickBot="1" x14ac:dyDescent="0.3">
      <c r="B47" s="25" t="s">
        <v>25</v>
      </c>
      <c r="C47" s="20">
        <v>23705</v>
      </c>
      <c r="D47" s="34">
        <v>34856.31</v>
      </c>
      <c r="E47" s="34">
        <v>34856.31</v>
      </c>
    </row>
    <row r="48" spans="2:5" ht="30.75" customHeight="1" thickBot="1" x14ac:dyDescent="0.35">
      <c r="B48" s="15" t="s">
        <v>26</v>
      </c>
      <c r="C48" s="19">
        <f>SUM(C49)</f>
        <v>3400</v>
      </c>
      <c r="D48" s="35">
        <f>SUM(D49)</f>
        <v>8435.81</v>
      </c>
      <c r="E48" s="35">
        <f>SUM(E49)</f>
        <v>8435.81</v>
      </c>
    </row>
    <row r="49" spans="2:5" ht="21.75" customHeight="1" thickBot="1" x14ac:dyDescent="0.3">
      <c r="B49" s="26" t="s">
        <v>27</v>
      </c>
      <c r="C49" s="20">
        <v>3400</v>
      </c>
      <c r="D49" s="34">
        <v>8435.81</v>
      </c>
      <c r="E49" s="34">
        <v>8435.81</v>
      </c>
    </row>
    <row r="50" spans="2:5" ht="30.75" customHeight="1" thickBot="1" x14ac:dyDescent="0.35">
      <c r="B50" s="15" t="s">
        <v>40</v>
      </c>
      <c r="C50" s="19">
        <f>SUM(C51:C53)</f>
        <v>0</v>
      </c>
      <c r="D50" s="42">
        <f>SUM(D51:D55)</f>
        <v>69228.929999999993</v>
      </c>
      <c r="E50" s="42">
        <f>SUM(E51:E55)</f>
        <v>69228.929999999993</v>
      </c>
    </row>
    <row r="51" spans="2:5" ht="21.75" customHeight="1" x14ac:dyDescent="0.25">
      <c r="B51" s="23" t="s">
        <v>58</v>
      </c>
      <c r="C51" s="37"/>
      <c r="D51" s="28">
        <f>34578+5842.4</f>
        <v>40420.400000000001</v>
      </c>
      <c r="E51" s="28">
        <f>34578+5842.4</f>
        <v>40420.400000000001</v>
      </c>
    </row>
    <row r="52" spans="2:5" ht="21.75" customHeight="1" x14ac:dyDescent="0.25">
      <c r="B52" s="39" t="s">
        <v>42</v>
      </c>
      <c r="C52" s="40"/>
      <c r="D52" s="41">
        <v>1570</v>
      </c>
      <c r="E52" s="41">
        <v>1570</v>
      </c>
    </row>
    <row r="53" spans="2:5" ht="21.75" customHeight="1" x14ac:dyDescent="0.25">
      <c r="B53" s="23" t="s">
        <v>56</v>
      </c>
      <c r="C53" s="40"/>
      <c r="D53" s="41"/>
      <c r="E53" s="41"/>
    </row>
    <row r="54" spans="2:5" ht="22.5" customHeight="1" x14ac:dyDescent="0.25">
      <c r="B54" s="23" t="s">
        <v>43</v>
      </c>
      <c r="C54" s="40"/>
      <c r="D54" s="41">
        <v>2650</v>
      </c>
      <c r="E54" s="41">
        <v>2650</v>
      </c>
    </row>
    <row r="55" spans="2:5" ht="21.75" customHeight="1" thickBot="1" x14ac:dyDescent="0.3">
      <c r="B55" s="23" t="s">
        <v>60</v>
      </c>
      <c r="C55" s="20"/>
      <c r="D55" s="34">
        <v>24588.53</v>
      </c>
      <c r="E55" s="34">
        <v>24588.53</v>
      </c>
    </row>
    <row r="56" spans="2:5" ht="26.25" customHeight="1" thickBot="1" x14ac:dyDescent="0.35">
      <c r="B56" s="16" t="s">
        <v>5</v>
      </c>
      <c r="C56" s="21">
        <f>SUM(C14+C22+C44+C48+C50)</f>
        <v>31930090</v>
      </c>
      <c r="D56" s="5">
        <f>SUM(D14+D22+D44+D48+D50)</f>
        <v>40330092.999999993</v>
      </c>
      <c r="E56" s="5">
        <f>SUM(E14+E22+E44+E48+E50)</f>
        <v>40320860.289999992</v>
      </c>
    </row>
    <row r="57" spans="2:5" ht="18" customHeight="1" x14ac:dyDescent="0.2">
      <c r="B57" s="67"/>
      <c r="C57" s="68"/>
      <c r="D57" s="68"/>
    </row>
    <row r="58" spans="2:5" ht="18" customHeight="1" x14ac:dyDescent="0.25">
      <c r="B58" s="48" t="s">
        <v>61</v>
      </c>
    </row>
    <row r="59" spans="2:5" ht="18" customHeight="1" x14ac:dyDescent="0.2">
      <c r="B59" s="43"/>
    </row>
    <row r="60" spans="2:5" ht="18" customHeight="1" x14ac:dyDescent="0.2">
      <c r="B60" s="38"/>
    </row>
    <row r="61" spans="2:5" ht="18" customHeight="1" x14ac:dyDescent="0.2">
      <c r="B61" s="38"/>
    </row>
  </sheetData>
  <mergeCells count="15">
    <mergeCell ref="B57:D57"/>
    <mergeCell ref="E11:E13"/>
    <mergeCell ref="E14:E15"/>
    <mergeCell ref="E22:E23"/>
    <mergeCell ref="B14:B15"/>
    <mergeCell ref="C14:C15"/>
    <mergeCell ref="D14:D15"/>
    <mergeCell ref="B22:B23"/>
    <mergeCell ref="C22:C23"/>
    <mergeCell ref="D22:D23"/>
    <mergeCell ref="B6:D6"/>
    <mergeCell ref="B7:D7"/>
    <mergeCell ref="B11:B13"/>
    <mergeCell ref="C11:C13"/>
    <mergeCell ref="D11:D13"/>
  </mergeCells>
  <pageMargins left="0.59055118110236227" right="0" top="0" bottom="0" header="0" footer="0"/>
  <pageSetup scale="65" orientation="portrait" r:id="rId1"/>
  <headerFooter alignWithMargins="0"/>
  <ignoredErrors>
    <ignoredError sqref="C40 D40:E4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1"/>
  <sheetViews>
    <sheetView topLeftCell="A37" workbookViewId="0">
      <selection activeCell="B58" sqref="B58"/>
    </sheetView>
  </sheetViews>
  <sheetFormatPr baseColWidth="10" defaultRowHeight="18" customHeight="1" x14ac:dyDescent="0.2"/>
  <cols>
    <col min="1" max="1" width="4.140625" customWidth="1"/>
    <col min="2" max="2" width="66.7109375" customWidth="1"/>
    <col min="3" max="5" width="23.7109375" customWidth="1"/>
  </cols>
  <sheetData>
    <row r="1" spans="2:5" ht="18" customHeight="1" x14ac:dyDescent="0.2">
      <c r="B1" s="4" t="s">
        <v>38</v>
      </c>
    </row>
    <row r="2" spans="2:5" ht="18" customHeight="1" x14ac:dyDescent="0.2">
      <c r="B2" s="4" t="s">
        <v>3</v>
      </c>
    </row>
    <row r="3" spans="2:5" ht="18" customHeight="1" x14ac:dyDescent="0.2">
      <c r="B3" s="4" t="s">
        <v>4</v>
      </c>
    </row>
    <row r="4" spans="2:5" ht="10.5" customHeight="1" x14ac:dyDescent="0.2">
      <c r="B4" s="4"/>
    </row>
    <row r="5" spans="2:5" ht="28.5" customHeight="1" x14ac:dyDescent="0.35">
      <c r="B5" s="44" t="s">
        <v>51</v>
      </c>
      <c r="C5" s="44"/>
      <c r="D5" s="44"/>
      <c r="E5" s="45"/>
    </row>
    <row r="6" spans="2:5" ht="28.5" customHeight="1" x14ac:dyDescent="0.3">
      <c r="B6" s="49"/>
      <c r="C6" s="49"/>
      <c r="D6" s="49"/>
    </row>
    <row r="7" spans="2:5" ht="15" customHeight="1" x14ac:dyDescent="0.4">
      <c r="B7" s="50"/>
      <c r="C7" s="50"/>
      <c r="D7" s="50"/>
    </row>
    <row r="8" spans="2:5" ht="18" customHeight="1" x14ac:dyDescent="0.2">
      <c r="B8" s="2" t="s">
        <v>1</v>
      </c>
      <c r="C8" s="3"/>
    </row>
    <row r="9" spans="2:5" ht="18" customHeight="1" x14ac:dyDescent="0.2">
      <c r="B9" s="2" t="s">
        <v>2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51" t="s">
        <v>0</v>
      </c>
      <c r="C11" s="54" t="s">
        <v>54</v>
      </c>
      <c r="D11" s="57" t="s">
        <v>46</v>
      </c>
      <c r="E11" s="57" t="s">
        <v>53</v>
      </c>
    </row>
    <row r="12" spans="2:5" ht="18" customHeight="1" x14ac:dyDescent="0.2">
      <c r="B12" s="52"/>
      <c r="C12" s="55"/>
      <c r="D12" s="58"/>
      <c r="E12" s="58"/>
    </row>
    <row r="13" spans="2:5" ht="6" customHeight="1" thickBot="1" x14ac:dyDescent="0.25">
      <c r="B13" s="53"/>
      <c r="C13" s="56"/>
      <c r="D13" s="59"/>
      <c r="E13" s="59"/>
    </row>
    <row r="14" spans="2:5" ht="18" customHeight="1" x14ac:dyDescent="0.2">
      <c r="B14" s="63" t="s">
        <v>6</v>
      </c>
      <c r="C14" s="65">
        <f>SUM(C16:C21)</f>
        <v>17553705</v>
      </c>
      <c r="D14" s="61">
        <f>SUM(D16:D21)</f>
        <v>16673901.199999999</v>
      </c>
      <c r="E14" s="61">
        <f>SUM(E16:E21)</f>
        <v>16598309.359999999</v>
      </c>
    </row>
    <row r="15" spans="2:5" ht="18" customHeight="1" thickBot="1" x14ac:dyDescent="0.25">
      <c r="B15" s="64"/>
      <c r="C15" s="66"/>
      <c r="D15" s="62"/>
      <c r="E15" s="62"/>
    </row>
    <row r="16" spans="2:5" ht="18" customHeight="1" x14ac:dyDescent="0.25">
      <c r="B16" s="17" t="s">
        <v>33</v>
      </c>
      <c r="C16" s="18">
        <v>14690040</v>
      </c>
      <c r="D16" s="28">
        <v>13858992.77</v>
      </c>
      <c r="E16" s="28">
        <v>13858992.77</v>
      </c>
    </row>
    <row r="17" spans="2:5" ht="18" customHeight="1" x14ac:dyDescent="0.25">
      <c r="B17" s="9" t="s">
        <v>34</v>
      </c>
      <c r="C17" s="18">
        <v>834875</v>
      </c>
      <c r="D17" s="28">
        <v>785224.36</v>
      </c>
      <c r="E17" s="28">
        <v>785224.36</v>
      </c>
    </row>
    <row r="18" spans="2:5" ht="18" customHeight="1" x14ac:dyDescent="0.25">
      <c r="B18" s="9" t="s">
        <v>44</v>
      </c>
      <c r="C18" s="18"/>
      <c r="D18" s="28"/>
      <c r="E18" s="28"/>
    </row>
    <row r="19" spans="2:5" ht="18" customHeight="1" x14ac:dyDescent="0.25">
      <c r="B19" s="9" t="s">
        <v>35</v>
      </c>
      <c r="C19" s="18">
        <v>1343220</v>
      </c>
      <c r="D19" s="28">
        <v>1169832.02</v>
      </c>
      <c r="E19" s="28">
        <v>1169832.02</v>
      </c>
    </row>
    <row r="20" spans="2:5" ht="18" customHeight="1" x14ac:dyDescent="0.25">
      <c r="B20" s="10" t="s">
        <v>36</v>
      </c>
      <c r="C20" s="18">
        <v>685570</v>
      </c>
      <c r="D20" s="28">
        <v>689992.25</v>
      </c>
      <c r="E20" s="28">
        <v>689991.65</v>
      </c>
    </row>
    <row r="21" spans="2:5" ht="18" customHeight="1" thickBot="1" x14ac:dyDescent="0.3">
      <c r="B21" s="32" t="s">
        <v>37</v>
      </c>
      <c r="C21" s="33"/>
      <c r="D21" s="31">
        <v>169859.8</v>
      </c>
      <c r="E21" s="31">
        <v>94268.56</v>
      </c>
    </row>
    <row r="22" spans="2:5" ht="18" customHeight="1" x14ac:dyDescent="0.2">
      <c r="B22" s="63" t="s">
        <v>31</v>
      </c>
      <c r="C22" s="65">
        <f>C24+C29+C31+C37+C40+C43</f>
        <v>17147865</v>
      </c>
      <c r="D22" s="61">
        <f>D24+D29+D31+D37+D40+D43</f>
        <v>25155864.120000005</v>
      </c>
      <c r="E22" s="61">
        <f>E24+E29+E31+E37+E40+E43</f>
        <v>24832741.500000004</v>
      </c>
    </row>
    <row r="23" spans="2:5" ht="18" customHeight="1" thickBot="1" x14ac:dyDescent="0.25">
      <c r="B23" s="64"/>
      <c r="C23" s="66"/>
      <c r="D23" s="62"/>
      <c r="E23" s="62"/>
    </row>
    <row r="24" spans="2:5" ht="18" customHeight="1" x14ac:dyDescent="0.25">
      <c r="B24" s="8" t="s">
        <v>13</v>
      </c>
      <c r="C24" s="27">
        <f>SUM(C25:C28)</f>
        <v>1516140</v>
      </c>
      <c r="D24" s="27">
        <f>SUM(D25:D28)</f>
        <v>2335956.8800000004</v>
      </c>
      <c r="E24" s="27">
        <f>SUM(E25:E28)</f>
        <v>2334326.27</v>
      </c>
    </row>
    <row r="25" spans="2:5" ht="18" customHeight="1" x14ac:dyDescent="0.25">
      <c r="B25" s="9" t="s">
        <v>7</v>
      </c>
      <c r="C25" s="28">
        <v>677875</v>
      </c>
      <c r="D25" s="28">
        <v>1106253.77</v>
      </c>
      <c r="E25" s="28">
        <v>1104823.1599999999</v>
      </c>
    </row>
    <row r="26" spans="2:5" ht="18" customHeight="1" x14ac:dyDescent="0.25">
      <c r="B26" s="9" t="s">
        <v>8</v>
      </c>
      <c r="C26" s="28">
        <v>700505</v>
      </c>
      <c r="D26" s="28">
        <v>911897.18</v>
      </c>
      <c r="E26" s="28">
        <v>911697.18</v>
      </c>
    </row>
    <row r="27" spans="2:5" ht="18" customHeight="1" x14ac:dyDescent="0.25">
      <c r="B27" s="9" t="s">
        <v>9</v>
      </c>
      <c r="C27" s="28">
        <v>134160</v>
      </c>
      <c r="D27" s="28">
        <v>315359.98</v>
      </c>
      <c r="E27" s="28">
        <v>315359.98</v>
      </c>
    </row>
    <row r="28" spans="2:5" ht="18" customHeight="1" x14ac:dyDescent="0.25">
      <c r="B28" s="10" t="s">
        <v>10</v>
      </c>
      <c r="C28" s="28">
        <v>3600</v>
      </c>
      <c r="D28" s="28">
        <v>2445.9499999999998</v>
      </c>
      <c r="E28" s="28">
        <v>2445.9499999999998</v>
      </c>
    </row>
    <row r="29" spans="2:5" ht="18" customHeight="1" x14ac:dyDescent="0.25">
      <c r="B29" s="11" t="s">
        <v>14</v>
      </c>
      <c r="C29" s="7">
        <f>SUM(C30)</f>
        <v>14697395</v>
      </c>
      <c r="D29" s="29">
        <f>SUM(D30)</f>
        <v>20588330.780000001</v>
      </c>
      <c r="E29" s="29">
        <f>SUM(E30)</f>
        <v>20588330.780000001</v>
      </c>
    </row>
    <row r="30" spans="2:5" ht="18" customHeight="1" x14ac:dyDescent="0.25">
      <c r="B30" s="12" t="s">
        <v>18</v>
      </c>
      <c r="C30" s="28">
        <v>14697395</v>
      </c>
      <c r="D30" s="28">
        <f>17651975.78+2936355</f>
        <v>20588330.780000001</v>
      </c>
      <c r="E30" s="28">
        <f>17651975.78+2936355</f>
        <v>20588330.780000001</v>
      </c>
    </row>
    <row r="31" spans="2:5" ht="18" customHeight="1" x14ac:dyDescent="0.25">
      <c r="B31" s="13" t="s">
        <v>23</v>
      </c>
      <c r="C31" s="29">
        <f>SUM(C32:C36)</f>
        <v>453915</v>
      </c>
      <c r="D31" s="29">
        <f>SUM(D32:D36)</f>
        <v>561906.28</v>
      </c>
      <c r="E31" s="29">
        <f>SUM(E32:E36)</f>
        <v>561906.28</v>
      </c>
    </row>
    <row r="32" spans="2:5" ht="18" customHeight="1" x14ac:dyDescent="0.25">
      <c r="B32" s="10" t="s">
        <v>22</v>
      </c>
      <c r="C32" s="28">
        <v>28840</v>
      </c>
      <c r="D32" s="28">
        <v>56742.879999999997</v>
      </c>
      <c r="E32" s="28">
        <v>56742.879999999997</v>
      </c>
    </row>
    <row r="33" spans="2:5" ht="18" customHeight="1" x14ac:dyDescent="0.25">
      <c r="B33" s="10" t="s">
        <v>32</v>
      </c>
      <c r="C33" s="28">
        <v>30520</v>
      </c>
      <c r="D33" s="28">
        <v>73764.14</v>
      </c>
      <c r="E33" s="28">
        <v>73764.14</v>
      </c>
    </row>
    <row r="34" spans="2:5" ht="18" customHeight="1" x14ac:dyDescent="0.25">
      <c r="B34" s="10" t="s">
        <v>21</v>
      </c>
      <c r="C34" s="28">
        <f>149935</f>
        <v>149935</v>
      </c>
      <c r="D34" s="28">
        <v>156510.15</v>
      </c>
      <c r="E34" s="28">
        <v>156510.15</v>
      </c>
    </row>
    <row r="35" spans="2:5" ht="18" customHeight="1" x14ac:dyDescent="0.25">
      <c r="B35" s="10" t="s">
        <v>19</v>
      </c>
      <c r="C35" s="28">
        <v>151500</v>
      </c>
      <c r="D35" s="28">
        <v>205743.5</v>
      </c>
      <c r="E35" s="28">
        <v>205743.5</v>
      </c>
    </row>
    <row r="36" spans="2:5" ht="18" customHeight="1" x14ac:dyDescent="0.25">
      <c r="B36" s="10" t="s">
        <v>20</v>
      </c>
      <c r="C36" s="28">
        <v>93120</v>
      </c>
      <c r="D36" s="28">
        <v>69145.61</v>
      </c>
      <c r="E36" s="28">
        <v>69145.61</v>
      </c>
    </row>
    <row r="37" spans="2:5" ht="18" customHeight="1" x14ac:dyDescent="0.25">
      <c r="B37" s="13" t="s">
        <v>28</v>
      </c>
      <c r="C37" s="29">
        <f>SUM(C38:C39)</f>
        <v>100590</v>
      </c>
      <c r="D37" s="29">
        <f>SUM(D38:D39)</f>
        <v>310465.84999999998</v>
      </c>
      <c r="E37" s="29">
        <f>SUM(E38:E39)</f>
        <v>246350.25</v>
      </c>
    </row>
    <row r="38" spans="2:5" ht="18" customHeight="1" x14ac:dyDescent="0.25">
      <c r="B38" s="10" t="s">
        <v>29</v>
      </c>
      <c r="C38" s="28">
        <v>40590</v>
      </c>
      <c r="D38" s="28">
        <v>94388.28</v>
      </c>
      <c r="E38" s="28">
        <v>91526.93</v>
      </c>
    </row>
    <row r="39" spans="2:5" ht="18" customHeight="1" x14ac:dyDescent="0.25">
      <c r="B39" s="10" t="s">
        <v>30</v>
      </c>
      <c r="C39" s="28">
        <f>60000</f>
        <v>60000</v>
      </c>
      <c r="D39" s="28">
        <v>216077.57</v>
      </c>
      <c r="E39" s="28">
        <v>154823.32</v>
      </c>
    </row>
    <row r="40" spans="2:5" ht="18" customHeight="1" x14ac:dyDescent="0.25">
      <c r="B40" s="13" t="s">
        <v>15</v>
      </c>
      <c r="C40" s="29">
        <f>SUM(C41:C42)</f>
        <v>234600</v>
      </c>
      <c r="D40" s="29">
        <f>SUM(D41:D42)</f>
        <v>253043.5</v>
      </c>
      <c r="E40" s="29">
        <f>SUM(E41:E42)</f>
        <v>253043.5</v>
      </c>
    </row>
    <row r="41" spans="2:5" ht="18" customHeight="1" x14ac:dyDescent="0.25">
      <c r="B41" s="10" t="s">
        <v>11</v>
      </c>
      <c r="C41" s="28">
        <v>60000</v>
      </c>
      <c r="D41" s="28">
        <v>78443.5</v>
      </c>
      <c r="E41" s="28">
        <v>78443.5</v>
      </c>
    </row>
    <row r="42" spans="2:5" ht="18" customHeight="1" x14ac:dyDescent="0.25">
      <c r="B42" s="10" t="s">
        <v>12</v>
      </c>
      <c r="C42" s="28">
        <v>174600</v>
      </c>
      <c r="D42" s="28">
        <v>174600</v>
      </c>
      <c r="E42" s="28">
        <v>174600</v>
      </c>
    </row>
    <row r="43" spans="2:5" ht="18" customHeight="1" thickBot="1" x14ac:dyDescent="0.3">
      <c r="B43" s="22" t="s">
        <v>16</v>
      </c>
      <c r="C43" s="30">
        <v>145225</v>
      </c>
      <c r="D43" s="36">
        <v>1106160.83</v>
      </c>
      <c r="E43" s="36">
        <v>848784.42</v>
      </c>
    </row>
    <row r="44" spans="2:5" ht="30.75" customHeight="1" thickBot="1" x14ac:dyDescent="0.35">
      <c r="B44" s="15" t="s">
        <v>24</v>
      </c>
      <c r="C44" s="19">
        <f>SUM(C45:C47)</f>
        <v>183220</v>
      </c>
      <c r="D44" s="35">
        <f>SUM(D45:D47)</f>
        <v>236774.45</v>
      </c>
      <c r="E44" s="35">
        <f>SUM(E45:E47)</f>
        <v>236774.45</v>
      </c>
    </row>
    <row r="45" spans="2:5" ht="18" customHeight="1" x14ac:dyDescent="0.25">
      <c r="B45" s="23" t="s">
        <v>17</v>
      </c>
      <c r="C45" s="24">
        <v>159520</v>
      </c>
      <c r="D45" s="28">
        <v>176156.92</v>
      </c>
      <c r="E45" s="28">
        <v>176156.92</v>
      </c>
    </row>
    <row r="46" spans="2:5" ht="18" customHeight="1" x14ac:dyDescent="0.25">
      <c r="B46" s="23" t="s">
        <v>39</v>
      </c>
      <c r="C46" s="6"/>
      <c r="D46" s="28">
        <v>830.72</v>
      </c>
      <c r="E46" s="28">
        <v>830.72</v>
      </c>
    </row>
    <row r="47" spans="2:5" ht="18" customHeight="1" thickBot="1" x14ac:dyDescent="0.3">
      <c r="B47" s="25" t="s">
        <v>25</v>
      </c>
      <c r="C47" s="20">
        <v>23700</v>
      </c>
      <c r="D47" s="34">
        <v>59786.81</v>
      </c>
      <c r="E47" s="34">
        <v>59786.81</v>
      </c>
    </row>
    <row r="48" spans="2:5" ht="30.75" customHeight="1" thickBot="1" x14ac:dyDescent="0.35">
      <c r="B48" s="15" t="s">
        <v>26</v>
      </c>
      <c r="C48" s="19">
        <f>SUM(C49)</f>
        <v>3400</v>
      </c>
      <c r="D48" s="35">
        <f>SUM(D49)</f>
        <v>2269.1999999999998</v>
      </c>
      <c r="E48" s="35">
        <f>SUM(E49)</f>
        <v>2269.1999999999998</v>
      </c>
    </row>
    <row r="49" spans="2:5" ht="21.75" customHeight="1" thickBot="1" x14ac:dyDescent="0.3">
      <c r="B49" s="26" t="s">
        <v>27</v>
      </c>
      <c r="C49" s="20">
        <v>3400</v>
      </c>
      <c r="D49" s="34">
        <v>2269.1999999999998</v>
      </c>
      <c r="E49" s="34">
        <v>2269.1999999999998</v>
      </c>
    </row>
    <row r="50" spans="2:5" ht="30.75" customHeight="1" thickBot="1" x14ac:dyDescent="0.35">
      <c r="B50" s="15" t="s">
        <v>40</v>
      </c>
      <c r="C50" s="19">
        <f>SUM(C51:C53)</f>
        <v>0</v>
      </c>
      <c r="D50" s="42">
        <f>SUM(D51:D55)</f>
        <v>5202.03</v>
      </c>
      <c r="E50" s="42">
        <f>SUM(E51:E55)</f>
        <v>5202.03</v>
      </c>
    </row>
    <row r="51" spans="2:5" ht="21.75" customHeight="1" x14ac:dyDescent="0.25">
      <c r="B51" s="23" t="s">
        <v>58</v>
      </c>
      <c r="C51" s="37"/>
      <c r="D51" s="28"/>
      <c r="E51" s="28"/>
    </row>
    <row r="52" spans="2:5" ht="21.75" customHeight="1" x14ac:dyDescent="0.25">
      <c r="B52" s="39" t="s">
        <v>42</v>
      </c>
      <c r="C52" s="40"/>
      <c r="D52" s="41">
        <v>3729</v>
      </c>
      <c r="E52" s="41">
        <v>3729</v>
      </c>
    </row>
    <row r="53" spans="2:5" ht="21.75" customHeight="1" x14ac:dyDescent="0.25">
      <c r="B53" s="23" t="s">
        <v>56</v>
      </c>
      <c r="C53" s="40"/>
      <c r="D53" s="41">
        <v>1473.03</v>
      </c>
      <c r="E53" s="41">
        <v>1473.03</v>
      </c>
    </row>
    <row r="54" spans="2:5" ht="21.75" customHeight="1" x14ac:dyDescent="0.25">
      <c r="B54" s="23" t="s">
        <v>43</v>
      </c>
      <c r="C54" s="40"/>
      <c r="D54" s="41"/>
      <c r="E54" s="41"/>
    </row>
    <row r="55" spans="2:5" ht="18" customHeight="1" thickBot="1" x14ac:dyDescent="0.3">
      <c r="B55" s="23" t="s">
        <v>60</v>
      </c>
      <c r="C55" s="20"/>
      <c r="D55" s="34"/>
      <c r="E55" s="34"/>
    </row>
    <row r="56" spans="2:5" ht="18" customHeight="1" thickBot="1" x14ac:dyDescent="0.35">
      <c r="B56" s="16" t="s">
        <v>5</v>
      </c>
      <c r="C56" s="21">
        <f>SUM(C14+C22+C44+C48+C50)</f>
        <v>34888190</v>
      </c>
      <c r="D56" s="5">
        <f>SUM(D14+D22+D44+D48+D50)</f>
        <v>42074011.000000015</v>
      </c>
      <c r="E56" s="5">
        <f>SUM(E14+E22+E44+E48+E50)</f>
        <v>41675296.540000007</v>
      </c>
    </row>
    <row r="57" spans="2:5" ht="18" customHeight="1" x14ac:dyDescent="0.2">
      <c r="B57" s="67"/>
      <c r="C57" s="68"/>
      <c r="D57" s="68"/>
    </row>
    <row r="58" spans="2:5" ht="18" customHeight="1" x14ac:dyDescent="0.25">
      <c r="B58" s="48" t="s">
        <v>61</v>
      </c>
    </row>
    <row r="59" spans="2:5" ht="18" customHeight="1" x14ac:dyDescent="0.2">
      <c r="B59" s="43"/>
    </row>
    <row r="60" spans="2:5" ht="18" customHeight="1" x14ac:dyDescent="0.2">
      <c r="B60" s="38"/>
    </row>
    <row r="61" spans="2:5" ht="18" customHeight="1" x14ac:dyDescent="0.2">
      <c r="B61" s="38"/>
    </row>
  </sheetData>
  <mergeCells count="15">
    <mergeCell ref="B57:D57"/>
    <mergeCell ref="B14:B15"/>
    <mergeCell ref="C14:C15"/>
    <mergeCell ref="D14:D15"/>
    <mergeCell ref="B22:B23"/>
    <mergeCell ref="C22:C23"/>
    <mergeCell ref="D22:D23"/>
    <mergeCell ref="E11:E13"/>
    <mergeCell ref="E14:E15"/>
    <mergeCell ref="E22:E23"/>
    <mergeCell ref="B6:D6"/>
    <mergeCell ref="B7:D7"/>
    <mergeCell ref="B11:B13"/>
    <mergeCell ref="C11:C13"/>
    <mergeCell ref="D11:D13"/>
  </mergeCells>
  <pageMargins left="0.59055118110236227" right="0" top="0" bottom="0" header="0" footer="0"/>
  <pageSetup scale="65" orientation="portrait" r:id="rId1"/>
  <headerFooter alignWithMargins="0"/>
  <ignoredErrors>
    <ignoredError sqref="C40:D4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1"/>
  <sheetViews>
    <sheetView workbookViewId="0">
      <selection activeCell="B6" sqref="B6:E6"/>
    </sheetView>
  </sheetViews>
  <sheetFormatPr baseColWidth="10" defaultRowHeight="18" customHeight="1" x14ac:dyDescent="0.2"/>
  <cols>
    <col min="1" max="1" width="4.140625" customWidth="1"/>
    <col min="2" max="2" width="66.7109375" customWidth="1"/>
    <col min="3" max="4" width="23.7109375" customWidth="1"/>
    <col min="5" max="5" width="24" customWidth="1"/>
  </cols>
  <sheetData>
    <row r="1" spans="2:5" ht="18" customHeight="1" x14ac:dyDescent="0.2">
      <c r="B1" s="4" t="s">
        <v>38</v>
      </c>
    </row>
    <row r="2" spans="2:5" ht="18" customHeight="1" x14ac:dyDescent="0.2">
      <c r="B2" s="4" t="s">
        <v>3</v>
      </c>
    </row>
    <row r="3" spans="2:5" ht="18" customHeight="1" x14ac:dyDescent="0.2">
      <c r="B3" s="4" t="s">
        <v>4</v>
      </c>
    </row>
    <row r="4" spans="2:5" ht="10.5" customHeight="1" x14ac:dyDescent="0.2">
      <c r="B4" s="4"/>
    </row>
    <row r="5" spans="2:5" ht="28.5" customHeight="1" x14ac:dyDescent="0.35">
      <c r="B5" s="44" t="s">
        <v>50</v>
      </c>
      <c r="C5" s="44"/>
      <c r="D5" s="44"/>
      <c r="E5" s="45"/>
    </row>
    <row r="6" spans="2:5" ht="28.5" customHeight="1" x14ac:dyDescent="0.3">
      <c r="B6" s="49" t="s">
        <v>64</v>
      </c>
      <c r="C6" s="49"/>
      <c r="D6" s="49"/>
      <c r="E6" s="49"/>
    </row>
    <row r="7" spans="2:5" ht="15" customHeight="1" x14ac:dyDescent="0.4">
      <c r="B7" s="50"/>
      <c r="C7" s="50"/>
      <c r="D7" s="50"/>
    </row>
    <row r="8" spans="2:5" ht="18" customHeight="1" x14ac:dyDescent="0.2">
      <c r="B8" s="2" t="s">
        <v>1</v>
      </c>
      <c r="C8" s="3"/>
    </row>
    <row r="9" spans="2:5" ht="18" customHeight="1" x14ac:dyDescent="0.2">
      <c r="B9" s="2" t="s">
        <v>2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51" t="s">
        <v>0</v>
      </c>
      <c r="C11" s="54" t="s">
        <v>54</v>
      </c>
      <c r="D11" s="57" t="s">
        <v>46</v>
      </c>
      <c r="E11" s="57" t="s">
        <v>53</v>
      </c>
    </row>
    <row r="12" spans="2:5" ht="18" customHeight="1" x14ac:dyDescent="0.2">
      <c r="B12" s="52"/>
      <c r="C12" s="55"/>
      <c r="D12" s="58"/>
      <c r="E12" s="58"/>
    </row>
    <row r="13" spans="2:5" ht="6" customHeight="1" thickBot="1" x14ac:dyDescent="0.25">
      <c r="B13" s="53"/>
      <c r="C13" s="56"/>
      <c r="D13" s="59"/>
      <c r="E13" s="59"/>
    </row>
    <row r="14" spans="2:5" ht="18" customHeight="1" x14ac:dyDescent="0.2">
      <c r="B14" s="63" t="s">
        <v>6</v>
      </c>
      <c r="C14" s="65">
        <f>SUM(C16:C21)</f>
        <v>17326730</v>
      </c>
      <c r="D14" s="61">
        <f>SUM(D16:D21)</f>
        <v>17262283.75</v>
      </c>
      <c r="E14" s="61">
        <f>SUM(E16:E21)</f>
        <v>17186106.949999999</v>
      </c>
    </row>
    <row r="15" spans="2:5" ht="18" customHeight="1" thickBot="1" x14ac:dyDescent="0.25">
      <c r="B15" s="64"/>
      <c r="C15" s="66"/>
      <c r="D15" s="62"/>
      <c r="E15" s="62"/>
    </row>
    <row r="16" spans="2:5" ht="18" customHeight="1" x14ac:dyDescent="0.25">
      <c r="B16" s="17" t="s">
        <v>33</v>
      </c>
      <c r="C16" s="18">
        <v>14503700</v>
      </c>
      <c r="D16" s="28">
        <v>13824149.960000001</v>
      </c>
      <c r="E16" s="28">
        <v>13764123.869999999</v>
      </c>
    </row>
    <row r="17" spans="2:5" ht="18" customHeight="1" x14ac:dyDescent="0.25">
      <c r="B17" s="9" t="s">
        <v>34</v>
      </c>
      <c r="C17" s="18">
        <v>822775</v>
      </c>
      <c r="D17" s="28">
        <v>775074.41</v>
      </c>
      <c r="E17" s="28">
        <v>775074.41</v>
      </c>
    </row>
    <row r="18" spans="2:5" ht="18" customHeight="1" x14ac:dyDescent="0.25">
      <c r="B18" s="9" t="s">
        <v>44</v>
      </c>
      <c r="C18" s="18"/>
      <c r="D18" s="28">
        <v>485000</v>
      </c>
      <c r="E18" s="28">
        <v>482190</v>
      </c>
    </row>
    <row r="19" spans="2:5" ht="18" customHeight="1" x14ac:dyDescent="0.25">
      <c r="B19" s="9" t="s">
        <v>35</v>
      </c>
      <c r="C19" s="18">
        <v>1313360</v>
      </c>
      <c r="D19" s="28">
        <v>1162834.6100000001</v>
      </c>
      <c r="E19" s="28">
        <v>1149628.33</v>
      </c>
    </row>
    <row r="20" spans="2:5" ht="18" customHeight="1" x14ac:dyDescent="0.25">
      <c r="B20" s="10" t="s">
        <v>36</v>
      </c>
      <c r="C20" s="18">
        <v>686895</v>
      </c>
      <c r="D20" s="28">
        <v>689944.71</v>
      </c>
      <c r="E20" s="28">
        <v>689810.28</v>
      </c>
    </row>
    <row r="21" spans="2:5" ht="18" customHeight="1" thickBot="1" x14ac:dyDescent="0.3">
      <c r="B21" s="32" t="s">
        <v>37</v>
      </c>
      <c r="C21" s="33"/>
      <c r="D21" s="31">
        <v>325280.06</v>
      </c>
      <c r="E21" s="31">
        <v>325280.06</v>
      </c>
    </row>
    <row r="22" spans="2:5" ht="18" customHeight="1" x14ac:dyDescent="0.2">
      <c r="B22" s="63" t="s">
        <v>31</v>
      </c>
      <c r="C22" s="65">
        <f>C24+C29+C31+C37+C40+C43</f>
        <v>21285325</v>
      </c>
      <c r="D22" s="61">
        <f>D24+D29+D31+D37+D40+D43</f>
        <v>28257095.09</v>
      </c>
      <c r="E22" s="61">
        <f>E24+E29+E31+E37+E40+E43</f>
        <v>28083289.449999999</v>
      </c>
    </row>
    <row r="23" spans="2:5" ht="18" customHeight="1" thickBot="1" x14ac:dyDescent="0.25">
      <c r="B23" s="64"/>
      <c r="C23" s="66"/>
      <c r="D23" s="62"/>
      <c r="E23" s="62"/>
    </row>
    <row r="24" spans="2:5" ht="18" customHeight="1" x14ac:dyDescent="0.25">
      <c r="B24" s="8" t="s">
        <v>13</v>
      </c>
      <c r="C24" s="27">
        <f>SUM(C25:C28)</f>
        <v>1516140</v>
      </c>
      <c r="D24" s="27">
        <f>SUM(D25:D28)</f>
        <v>2637997.59</v>
      </c>
      <c r="E24" s="27">
        <f>SUM(E25:E28)</f>
        <v>2637997.59</v>
      </c>
    </row>
    <row r="25" spans="2:5" ht="18" customHeight="1" x14ac:dyDescent="0.25">
      <c r="B25" s="9" t="s">
        <v>7</v>
      </c>
      <c r="C25" s="28">
        <v>677875</v>
      </c>
      <c r="D25" s="28">
        <v>1295837.8899999999</v>
      </c>
      <c r="E25" s="28">
        <v>1295837.8899999999</v>
      </c>
    </row>
    <row r="26" spans="2:5" ht="18" customHeight="1" x14ac:dyDescent="0.25">
      <c r="B26" s="9" t="s">
        <v>8</v>
      </c>
      <c r="C26" s="28">
        <v>700505</v>
      </c>
      <c r="D26" s="28">
        <v>968999.38</v>
      </c>
      <c r="E26" s="28">
        <v>968999.38</v>
      </c>
    </row>
    <row r="27" spans="2:5" ht="18" customHeight="1" x14ac:dyDescent="0.25">
      <c r="B27" s="9" t="s">
        <v>9</v>
      </c>
      <c r="C27" s="28">
        <v>134160</v>
      </c>
      <c r="D27" s="28">
        <v>370438.53</v>
      </c>
      <c r="E27" s="28">
        <v>370438.53</v>
      </c>
    </row>
    <row r="28" spans="2:5" ht="18" customHeight="1" x14ac:dyDescent="0.25">
      <c r="B28" s="10" t="s">
        <v>10</v>
      </c>
      <c r="C28" s="28">
        <v>3600</v>
      </c>
      <c r="D28" s="28">
        <v>2721.79</v>
      </c>
      <c r="E28" s="28">
        <v>2721.79</v>
      </c>
    </row>
    <row r="29" spans="2:5" ht="18" customHeight="1" x14ac:dyDescent="0.25">
      <c r="B29" s="11" t="s">
        <v>14</v>
      </c>
      <c r="C29" s="7">
        <f>SUM(C30)</f>
        <v>18834855</v>
      </c>
      <c r="D29" s="29">
        <f>SUM(D30)</f>
        <v>23672044</v>
      </c>
      <c r="E29" s="29">
        <f>SUM(E30)</f>
        <v>23542483.050000001</v>
      </c>
    </row>
    <row r="30" spans="2:5" ht="18" customHeight="1" x14ac:dyDescent="0.25">
      <c r="B30" s="12" t="s">
        <v>18</v>
      </c>
      <c r="C30" s="28">
        <v>18834855</v>
      </c>
      <c r="D30" s="28">
        <v>23672044</v>
      </c>
      <c r="E30" s="28">
        <v>23542483.050000001</v>
      </c>
    </row>
    <row r="31" spans="2:5" ht="18" customHeight="1" x14ac:dyDescent="0.25">
      <c r="B31" s="13" t="s">
        <v>23</v>
      </c>
      <c r="C31" s="29">
        <f>SUM(C32:C36)</f>
        <v>455210</v>
      </c>
      <c r="D31" s="29">
        <f>SUM(D32:D36)</f>
        <v>696325.48</v>
      </c>
      <c r="E31" s="29">
        <f>SUM(E32:E36)</f>
        <v>694954.88</v>
      </c>
    </row>
    <row r="32" spans="2:5" ht="18" customHeight="1" x14ac:dyDescent="0.25">
      <c r="B32" s="10" t="s">
        <v>22</v>
      </c>
      <c r="C32" s="28">
        <v>28825</v>
      </c>
      <c r="D32" s="28">
        <v>47812.56</v>
      </c>
      <c r="E32" s="28">
        <v>46441.96</v>
      </c>
    </row>
    <row r="33" spans="2:5" ht="18" customHeight="1" x14ac:dyDescent="0.25">
      <c r="B33" s="10" t="s">
        <v>32</v>
      </c>
      <c r="C33" s="28">
        <v>30525</v>
      </c>
      <c r="D33" s="28">
        <v>64816.92</v>
      </c>
      <c r="E33" s="28">
        <v>64816.92</v>
      </c>
    </row>
    <row r="34" spans="2:5" ht="18" customHeight="1" x14ac:dyDescent="0.25">
      <c r="B34" s="10" t="s">
        <v>21</v>
      </c>
      <c r="C34" s="28">
        <f>142835+16310</f>
        <v>159145</v>
      </c>
      <c r="D34" s="28">
        <f>157940.53+41526.86</f>
        <v>199467.39</v>
      </c>
      <c r="E34" s="28">
        <f>157940.53+41526.86</f>
        <v>199467.39</v>
      </c>
    </row>
    <row r="35" spans="2:5" ht="18" customHeight="1" x14ac:dyDescent="0.25">
      <c r="B35" s="10" t="s">
        <v>19</v>
      </c>
      <c r="C35" s="28">
        <v>151500</v>
      </c>
      <c r="D35" s="28">
        <v>304825.77</v>
      </c>
      <c r="E35" s="28">
        <v>304825.77</v>
      </c>
    </row>
    <row r="36" spans="2:5" ht="18" customHeight="1" x14ac:dyDescent="0.25">
      <c r="B36" s="10" t="s">
        <v>20</v>
      </c>
      <c r="C36" s="28">
        <v>85215</v>
      </c>
      <c r="D36" s="28">
        <v>79402.84</v>
      </c>
      <c r="E36" s="28">
        <v>79402.84</v>
      </c>
    </row>
    <row r="37" spans="2:5" ht="18" customHeight="1" x14ac:dyDescent="0.25">
      <c r="B37" s="13" t="s">
        <v>28</v>
      </c>
      <c r="C37" s="29">
        <f>SUM(C38:C39)</f>
        <v>104965</v>
      </c>
      <c r="D37" s="29">
        <f>SUM(D38:D39)</f>
        <v>307344.03000000003</v>
      </c>
      <c r="E37" s="29">
        <f>SUM(E38:E39)</f>
        <v>299307.91000000003</v>
      </c>
    </row>
    <row r="38" spans="2:5" ht="18" customHeight="1" x14ac:dyDescent="0.25">
      <c r="B38" s="10" t="s">
        <v>29</v>
      </c>
      <c r="C38" s="28">
        <v>44965</v>
      </c>
      <c r="D38" s="28">
        <v>112236.52</v>
      </c>
      <c r="E38" s="28">
        <v>111796.52</v>
      </c>
    </row>
    <row r="39" spans="2:5" ht="18" customHeight="1" x14ac:dyDescent="0.25">
      <c r="B39" s="10" t="s">
        <v>30</v>
      </c>
      <c r="C39" s="28">
        <f>60000</f>
        <v>60000</v>
      </c>
      <c r="D39" s="28">
        <v>195107.51</v>
      </c>
      <c r="E39" s="28">
        <v>187511.39</v>
      </c>
    </row>
    <row r="40" spans="2:5" ht="18" customHeight="1" x14ac:dyDescent="0.25">
      <c r="B40" s="13" t="s">
        <v>15</v>
      </c>
      <c r="C40" s="29">
        <f>SUM(C41:C42)</f>
        <v>232600</v>
      </c>
      <c r="D40" s="29">
        <f>SUM(D41:D42)</f>
        <v>294690</v>
      </c>
      <c r="E40" s="29">
        <f>SUM(E41:E42)</f>
        <v>294690</v>
      </c>
    </row>
    <row r="41" spans="2:5" ht="18" customHeight="1" x14ac:dyDescent="0.25">
      <c r="B41" s="10" t="s">
        <v>11</v>
      </c>
      <c r="C41" s="28">
        <v>58000</v>
      </c>
      <c r="D41" s="28">
        <v>100260</v>
      </c>
      <c r="E41" s="28">
        <v>100260</v>
      </c>
    </row>
    <row r="42" spans="2:5" ht="18" customHeight="1" x14ac:dyDescent="0.25">
      <c r="B42" s="10" t="s">
        <v>12</v>
      </c>
      <c r="C42" s="28">
        <v>174600</v>
      </c>
      <c r="D42" s="28">
        <v>194430</v>
      </c>
      <c r="E42" s="28">
        <v>194430</v>
      </c>
    </row>
    <row r="43" spans="2:5" ht="18" customHeight="1" thickBot="1" x14ac:dyDescent="0.3">
      <c r="B43" s="22" t="s">
        <v>16</v>
      </c>
      <c r="C43" s="30">
        <v>141555</v>
      </c>
      <c r="D43" s="36">
        <v>648693.99</v>
      </c>
      <c r="E43" s="36">
        <v>613856.02</v>
      </c>
    </row>
    <row r="44" spans="2:5" ht="30.75" customHeight="1" thickBot="1" x14ac:dyDescent="0.35">
      <c r="B44" s="15" t="s">
        <v>24</v>
      </c>
      <c r="C44" s="19">
        <f>SUM(C45:C47)</f>
        <v>183220</v>
      </c>
      <c r="D44" s="35">
        <f>SUM(D45:D47)</f>
        <v>272329.61</v>
      </c>
      <c r="E44" s="35">
        <f>SUM(E45:E47)</f>
        <v>271039.18</v>
      </c>
    </row>
    <row r="45" spans="2:5" ht="18" customHeight="1" x14ac:dyDescent="0.25">
      <c r="B45" s="23" t="s">
        <v>17</v>
      </c>
      <c r="C45" s="24">
        <v>158740</v>
      </c>
      <c r="D45" s="28">
        <v>183208.4</v>
      </c>
      <c r="E45" s="28">
        <v>181917.97</v>
      </c>
    </row>
    <row r="46" spans="2:5" ht="18" customHeight="1" x14ac:dyDescent="0.25">
      <c r="B46" s="23" t="s">
        <v>39</v>
      </c>
      <c r="C46" s="6"/>
      <c r="D46" s="28">
        <v>640.98</v>
      </c>
      <c r="E46" s="28">
        <v>640.98</v>
      </c>
    </row>
    <row r="47" spans="2:5" ht="18" customHeight="1" thickBot="1" x14ac:dyDescent="0.3">
      <c r="B47" s="25" t="s">
        <v>25</v>
      </c>
      <c r="C47" s="20">
        <v>24480</v>
      </c>
      <c r="D47" s="34">
        <v>88480.23</v>
      </c>
      <c r="E47" s="34">
        <v>88480.23</v>
      </c>
    </row>
    <row r="48" spans="2:5" ht="30.75" customHeight="1" thickBot="1" x14ac:dyDescent="0.35">
      <c r="B48" s="15" t="s">
        <v>26</v>
      </c>
      <c r="C48" s="19">
        <f>SUM(C49)</f>
        <v>3400</v>
      </c>
      <c r="D48" s="35">
        <f>SUM(D49)</f>
        <v>3400</v>
      </c>
      <c r="E48" s="35">
        <f>SUM(E49)</f>
        <v>363.66</v>
      </c>
    </row>
    <row r="49" spans="2:5" ht="21.75" customHeight="1" thickBot="1" x14ac:dyDescent="0.3">
      <c r="B49" s="26" t="s">
        <v>27</v>
      </c>
      <c r="C49" s="20">
        <v>3400</v>
      </c>
      <c r="D49" s="34">
        <v>3400</v>
      </c>
      <c r="E49" s="34">
        <v>363.66</v>
      </c>
    </row>
    <row r="50" spans="2:5" ht="30.75" customHeight="1" thickBot="1" x14ac:dyDescent="0.35">
      <c r="B50" s="15" t="s">
        <v>40</v>
      </c>
      <c r="C50" s="19">
        <f>SUM(C51:C53)</f>
        <v>0</v>
      </c>
      <c r="D50" s="42">
        <f>SUM(D51:D55)</f>
        <v>6960.55</v>
      </c>
      <c r="E50" s="42">
        <f>SUM(E51:E55)</f>
        <v>6351.55</v>
      </c>
    </row>
    <row r="51" spans="2:5" ht="21.75" customHeight="1" x14ac:dyDescent="0.25">
      <c r="B51" s="23" t="s">
        <v>58</v>
      </c>
      <c r="C51" s="37"/>
      <c r="D51" s="28"/>
      <c r="E51" s="28"/>
    </row>
    <row r="52" spans="2:5" ht="21.75" customHeight="1" x14ac:dyDescent="0.25">
      <c r="B52" s="39" t="s">
        <v>42</v>
      </c>
      <c r="C52" s="40"/>
      <c r="D52" s="41">
        <v>1084.75</v>
      </c>
      <c r="E52" s="41">
        <v>1084.75</v>
      </c>
    </row>
    <row r="53" spans="2:5" ht="21.75" customHeight="1" x14ac:dyDescent="0.25">
      <c r="B53" s="23" t="s">
        <v>56</v>
      </c>
      <c r="C53" s="40"/>
      <c r="D53" s="41"/>
      <c r="E53" s="41"/>
    </row>
    <row r="54" spans="2:5" ht="21.75" customHeight="1" x14ac:dyDescent="0.25">
      <c r="B54" s="23" t="s">
        <v>43</v>
      </c>
      <c r="C54" s="40"/>
      <c r="D54" s="41">
        <v>5875.8</v>
      </c>
      <c r="E54" s="41">
        <v>5266.8</v>
      </c>
    </row>
    <row r="55" spans="2:5" ht="18" customHeight="1" thickBot="1" x14ac:dyDescent="0.3">
      <c r="B55" s="23" t="s">
        <v>60</v>
      </c>
      <c r="C55" s="20"/>
      <c r="D55" s="34"/>
      <c r="E55" s="34"/>
    </row>
    <row r="56" spans="2:5" ht="18" customHeight="1" thickBot="1" x14ac:dyDescent="0.35">
      <c r="B56" s="16" t="s">
        <v>5</v>
      </c>
      <c r="C56" s="21">
        <f>SUM(C14+C22+C44+C48+C50)</f>
        <v>38798675</v>
      </c>
      <c r="D56" s="5">
        <f>SUM(D14+D22+D44+D48+D50)</f>
        <v>45802069</v>
      </c>
      <c r="E56" s="5">
        <f>SUM(E14+E22+E44+E48+E50)</f>
        <v>45547150.789999992</v>
      </c>
    </row>
    <row r="57" spans="2:5" ht="18" customHeight="1" x14ac:dyDescent="0.2">
      <c r="B57" s="67"/>
      <c r="C57" s="68"/>
      <c r="D57" s="68"/>
    </row>
    <row r="58" spans="2:5" ht="18" customHeight="1" x14ac:dyDescent="0.25">
      <c r="B58" s="48"/>
    </row>
    <row r="59" spans="2:5" ht="18" customHeight="1" x14ac:dyDescent="0.2">
      <c r="B59" s="43"/>
    </row>
    <row r="60" spans="2:5" ht="18" customHeight="1" x14ac:dyDescent="0.2">
      <c r="B60" s="38"/>
    </row>
    <row r="61" spans="2:5" ht="18" customHeight="1" x14ac:dyDescent="0.2">
      <c r="B61" s="38"/>
    </row>
  </sheetData>
  <mergeCells count="15">
    <mergeCell ref="B57:D57"/>
    <mergeCell ref="D14:D15"/>
    <mergeCell ref="D22:D23"/>
    <mergeCell ref="B7:D7"/>
    <mergeCell ref="D11:D13"/>
    <mergeCell ref="B11:B13"/>
    <mergeCell ref="C11:C13"/>
    <mergeCell ref="B6:E6"/>
    <mergeCell ref="E11:E13"/>
    <mergeCell ref="E14:E15"/>
    <mergeCell ref="E22:E23"/>
    <mergeCell ref="C22:C23"/>
    <mergeCell ref="B14:B15"/>
    <mergeCell ref="B22:B23"/>
    <mergeCell ref="C14:C15"/>
  </mergeCells>
  <phoneticPr fontId="11" type="noConversion"/>
  <pageMargins left="0.59055118110236227" right="0" top="0" bottom="0" header="0" footer="0"/>
  <pageSetup scale="65" orientation="portrait" r:id="rId1"/>
  <headerFooter alignWithMargins="0"/>
  <ignoredErrors>
    <ignoredError sqref="C40 D40:E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1"/>
  <sheetViews>
    <sheetView topLeftCell="A37" workbookViewId="0">
      <selection activeCell="B56" sqref="B56"/>
    </sheetView>
  </sheetViews>
  <sheetFormatPr baseColWidth="10" defaultRowHeight="18" customHeight="1" x14ac:dyDescent="0.2"/>
  <cols>
    <col min="1" max="1" width="4.140625" customWidth="1"/>
    <col min="2" max="2" width="66.7109375" customWidth="1"/>
    <col min="3" max="5" width="23.7109375" customWidth="1"/>
  </cols>
  <sheetData>
    <row r="1" spans="2:5" ht="18" customHeight="1" x14ac:dyDescent="0.2">
      <c r="B1" s="4" t="s">
        <v>38</v>
      </c>
    </row>
    <row r="2" spans="2:5" ht="18" customHeight="1" x14ac:dyDescent="0.2">
      <c r="B2" s="4" t="s">
        <v>3</v>
      </c>
    </row>
    <row r="3" spans="2:5" ht="18" customHeight="1" x14ac:dyDescent="0.2">
      <c r="B3" s="4" t="s">
        <v>4</v>
      </c>
    </row>
    <row r="4" spans="2:5" ht="10.5" customHeight="1" x14ac:dyDescent="0.2">
      <c r="B4" s="4"/>
    </row>
    <row r="5" spans="2:5" ht="28.5" customHeight="1" x14ac:dyDescent="0.35">
      <c r="B5" s="44" t="s">
        <v>49</v>
      </c>
      <c r="C5" s="44"/>
      <c r="D5" s="44"/>
      <c r="E5" s="45"/>
    </row>
    <row r="6" spans="2:5" ht="28.5" customHeight="1" x14ac:dyDescent="0.3">
      <c r="B6" s="49"/>
      <c r="C6" s="49"/>
      <c r="D6" s="49"/>
    </row>
    <row r="7" spans="2:5" ht="15" customHeight="1" x14ac:dyDescent="0.4">
      <c r="B7" s="50"/>
      <c r="C7" s="50"/>
      <c r="D7" s="50"/>
    </row>
    <row r="8" spans="2:5" ht="18" customHeight="1" x14ac:dyDescent="0.2">
      <c r="B8" s="2" t="s">
        <v>1</v>
      </c>
      <c r="C8" s="3"/>
    </row>
    <row r="9" spans="2:5" ht="18" customHeight="1" x14ac:dyDescent="0.2">
      <c r="B9" s="2" t="s">
        <v>2</v>
      </c>
      <c r="C9" s="2"/>
    </row>
    <row r="10" spans="2:5" ht="12.75" customHeight="1" thickBot="1" x14ac:dyDescent="0.25">
      <c r="B10" s="1"/>
      <c r="C10" s="1"/>
    </row>
    <row r="11" spans="2:5" ht="18" customHeight="1" x14ac:dyDescent="0.2">
      <c r="B11" s="51" t="s">
        <v>0</v>
      </c>
      <c r="C11" s="54" t="s">
        <v>45</v>
      </c>
      <c r="D11" s="57" t="s">
        <v>46</v>
      </c>
      <c r="E11" s="57" t="s">
        <v>53</v>
      </c>
    </row>
    <row r="12" spans="2:5" ht="18" customHeight="1" x14ac:dyDescent="0.2">
      <c r="B12" s="52"/>
      <c r="C12" s="55"/>
      <c r="D12" s="58"/>
      <c r="E12" s="58"/>
    </row>
    <row r="13" spans="2:5" ht="6" customHeight="1" thickBot="1" x14ac:dyDescent="0.25">
      <c r="B13" s="53"/>
      <c r="C13" s="56"/>
      <c r="D13" s="59"/>
      <c r="E13" s="59"/>
    </row>
    <row r="14" spans="2:5" ht="18" customHeight="1" x14ac:dyDescent="0.2">
      <c r="B14" s="63" t="s">
        <v>6</v>
      </c>
      <c r="C14" s="65">
        <f>SUM(C16:C21)</f>
        <v>17263375</v>
      </c>
      <c r="D14" s="61">
        <f>SUM(D16:D21)</f>
        <v>17020073.689999998</v>
      </c>
      <c r="E14" s="61">
        <f>SUM(E16:E21)</f>
        <v>17020059.709999997</v>
      </c>
    </row>
    <row r="15" spans="2:5" ht="18" customHeight="1" thickBot="1" x14ac:dyDescent="0.25">
      <c r="B15" s="64"/>
      <c r="C15" s="66"/>
      <c r="D15" s="62"/>
      <c r="E15" s="62"/>
    </row>
    <row r="16" spans="2:5" ht="18" customHeight="1" x14ac:dyDescent="0.25">
      <c r="B16" s="17" t="s">
        <v>33</v>
      </c>
      <c r="C16" s="18">
        <f>36640+14414695</f>
        <v>14451335</v>
      </c>
      <c r="D16" s="28">
        <f>36640.68+13422031.66</f>
        <v>13458672.34</v>
      </c>
      <c r="E16" s="28">
        <f>36640.68+13422031.65</f>
        <v>13458672.33</v>
      </c>
    </row>
    <row r="17" spans="2:5" ht="18" customHeight="1" x14ac:dyDescent="0.25">
      <c r="B17" s="9" t="s">
        <v>34</v>
      </c>
      <c r="C17" s="18">
        <f>2355+817395</f>
        <v>819750</v>
      </c>
      <c r="D17" s="28">
        <f>2353.05+750667.93</f>
        <v>753020.9800000001</v>
      </c>
      <c r="E17" s="28">
        <f>2353.05+750667.93</f>
        <v>753020.9800000001</v>
      </c>
    </row>
    <row r="18" spans="2:5" ht="18" customHeight="1" x14ac:dyDescent="0.25">
      <c r="B18" s="9" t="s">
        <v>44</v>
      </c>
      <c r="C18" s="18"/>
      <c r="D18" s="28">
        <f>2800+895600</f>
        <v>898400</v>
      </c>
      <c r="E18" s="28">
        <f>2800+895600</f>
        <v>898400</v>
      </c>
    </row>
    <row r="19" spans="2:5" ht="18" customHeight="1" x14ac:dyDescent="0.25">
      <c r="B19" s="9" t="s">
        <v>35</v>
      </c>
      <c r="C19" s="18">
        <f>3100+1286430</f>
        <v>1289530</v>
      </c>
      <c r="D19" s="28">
        <f>3046.56+1117128.43</f>
        <v>1120174.99</v>
      </c>
      <c r="E19" s="28">
        <f>3046.56+1117114.46</f>
        <v>1120161.02</v>
      </c>
    </row>
    <row r="20" spans="2:5" ht="18" customHeight="1" x14ac:dyDescent="0.25">
      <c r="B20" s="10" t="s">
        <v>36</v>
      </c>
      <c r="C20" s="18">
        <f>2140+700620</f>
        <v>702760</v>
      </c>
      <c r="D20" s="28">
        <f>2137.32+667963.25</f>
        <v>670100.56999999995</v>
      </c>
      <c r="E20" s="28">
        <f>2137.32+667963.25</f>
        <v>670100.56999999995</v>
      </c>
    </row>
    <row r="21" spans="2:5" ht="18" customHeight="1" thickBot="1" x14ac:dyDescent="0.3">
      <c r="B21" s="32" t="s">
        <v>37</v>
      </c>
      <c r="C21" s="33"/>
      <c r="D21" s="31">
        <v>119704.81</v>
      </c>
      <c r="E21" s="31">
        <v>119704.81</v>
      </c>
    </row>
    <row r="22" spans="2:5" ht="18" customHeight="1" x14ac:dyDescent="0.2">
      <c r="B22" s="63" t="s">
        <v>31</v>
      </c>
      <c r="C22" s="65">
        <f>C24+C29+C31+C37+C40+C43</f>
        <v>18636590</v>
      </c>
      <c r="D22" s="61">
        <f>D24+D29+D31+D37+D40+D43</f>
        <v>22948931.239999998</v>
      </c>
      <c r="E22" s="61">
        <f>E24+E29+E31+E37+E40+E43</f>
        <v>22948916.48</v>
      </c>
    </row>
    <row r="23" spans="2:5" ht="18" customHeight="1" thickBot="1" x14ac:dyDescent="0.25">
      <c r="B23" s="64"/>
      <c r="C23" s="66"/>
      <c r="D23" s="62"/>
      <c r="E23" s="62"/>
    </row>
    <row r="24" spans="2:5" ht="18" customHeight="1" x14ac:dyDescent="0.25">
      <c r="B24" s="8" t="s">
        <v>13</v>
      </c>
      <c r="C24" s="27">
        <f>SUM(C25:C28)</f>
        <v>1501390</v>
      </c>
      <c r="D24" s="27">
        <f>SUM(D25:D28)</f>
        <v>2653066.33</v>
      </c>
      <c r="E24" s="27">
        <f>SUM(E25:E28)</f>
        <v>2653051.64</v>
      </c>
    </row>
    <row r="25" spans="2:5" ht="18" customHeight="1" x14ac:dyDescent="0.25">
      <c r="B25" s="9" t="s">
        <v>7</v>
      </c>
      <c r="C25" s="28">
        <v>694700</v>
      </c>
      <c r="D25" s="28">
        <v>1377939.82</v>
      </c>
      <c r="E25" s="28">
        <v>1377926.21</v>
      </c>
    </row>
    <row r="26" spans="2:5" ht="18" customHeight="1" x14ac:dyDescent="0.25">
      <c r="B26" s="9" t="s">
        <v>8</v>
      </c>
      <c r="C26" s="28">
        <v>715805</v>
      </c>
      <c r="D26" s="28">
        <v>907023.94</v>
      </c>
      <c r="E26" s="28">
        <v>907022.86</v>
      </c>
    </row>
    <row r="27" spans="2:5" ht="18" customHeight="1" x14ac:dyDescent="0.25">
      <c r="B27" s="9" t="s">
        <v>9</v>
      </c>
      <c r="C27" s="28">
        <v>88485</v>
      </c>
      <c r="D27" s="28">
        <v>365253.66</v>
      </c>
      <c r="E27" s="28">
        <v>365253.66</v>
      </c>
    </row>
    <row r="28" spans="2:5" ht="18" customHeight="1" x14ac:dyDescent="0.25">
      <c r="B28" s="10" t="s">
        <v>10</v>
      </c>
      <c r="C28" s="28">
        <v>2400</v>
      </c>
      <c r="D28" s="28">
        <v>2848.91</v>
      </c>
      <c r="E28" s="28">
        <v>2848.91</v>
      </c>
    </row>
    <row r="29" spans="2:5" ht="18" customHeight="1" x14ac:dyDescent="0.25">
      <c r="B29" s="11" t="s">
        <v>14</v>
      </c>
      <c r="C29" s="7">
        <f>SUM(C30)</f>
        <v>16376250</v>
      </c>
      <c r="D29" s="29">
        <f>SUM(D30)</f>
        <v>18518576.390000001</v>
      </c>
      <c r="E29" s="29">
        <f>SUM(E30)</f>
        <v>18518576.390000001</v>
      </c>
    </row>
    <row r="30" spans="2:5" ht="18" customHeight="1" x14ac:dyDescent="0.25">
      <c r="B30" s="12" t="s">
        <v>18</v>
      </c>
      <c r="C30" s="28">
        <v>16376250</v>
      </c>
      <c r="D30" s="28">
        <v>18518576.390000001</v>
      </c>
      <c r="E30" s="28">
        <v>18518576.390000001</v>
      </c>
    </row>
    <row r="31" spans="2:5" ht="18" customHeight="1" x14ac:dyDescent="0.25">
      <c r="B31" s="13" t="s">
        <v>23</v>
      </c>
      <c r="C31" s="29">
        <f>SUM(C32:C36)</f>
        <v>412105</v>
      </c>
      <c r="D31" s="29">
        <f>SUM(D32:D36)</f>
        <v>827490.14</v>
      </c>
      <c r="E31" s="29">
        <f>SUM(E32:E36)</f>
        <v>827490.14</v>
      </c>
    </row>
    <row r="32" spans="2:5" ht="18" customHeight="1" x14ac:dyDescent="0.25">
      <c r="B32" s="10" t="s">
        <v>22</v>
      </c>
      <c r="C32" s="28">
        <v>25195</v>
      </c>
      <c r="D32" s="28">
        <v>62188.92</v>
      </c>
      <c r="E32" s="28">
        <v>62188.92</v>
      </c>
    </row>
    <row r="33" spans="2:5" ht="18" customHeight="1" x14ac:dyDescent="0.25">
      <c r="B33" s="10" t="s">
        <v>32</v>
      </c>
      <c r="C33" s="28">
        <v>25005</v>
      </c>
      <c r="D33" s="28">
        <v>76652.75</v>
      </c>
      <c r="E33" s="28">
        <v>76652.75</v>
      </c>
    </row>
    <row r="34" spans="2:5" ht="18" customHeight="1" x14ac:dyDescent="0.25">
      <c r="B34" s="10" t="s">
        <v>21</v>
      </c>
      <c r="C34" s="28">
        <f>104085+15320</f>
        <v>119405</v>
      </c>
      <c r="D34" s="28">
        <f>158040.51+40385.09</f>
        <v>198425.60000000001</v>
      </c>
      <c r="E34" s="28">
        <f>158040.51+40385.09</f>
        <v>198425.60000000001</v>
      </c>
    </row>
    <row r="35" spans="2:5" ht="18" customHeight="1" x14ac:dyDescent="0.25">
      <c r="B35" s="10" t="s">
        <v>19</v>
      </c>
      <c r="C35" s="28">
        <v>161000</v>
      </c>
      <c r="D35" s="28">
        <v>420082.75</v>
      </c>
      <c r="E35" s="28">
        <v>420082.75</v>
      </c>
    </row>
    <row r="36" spans="2:5" ht="18" customHeight="1" x14ac:dyDescent="0.25">
      <c r="B36" s="10" t="s">
        <v>20</v>
      </c>
      <c r="C36" s="28">
        <v>81500</v>
      </c>
      <c r="D36" s="28">
        <v>70140.12</v>
      </c>
      <c r="E36" s="28">
        <v>70140.12</v>
      </c>
    </row>
    <row r="37" spans="2:5" ht="18" customHeight="1" x14ac:dyDescent="0.25">
      <c r="B37" s="13" t="s">
        <v>28</v>
      </c>
      <c r="C37" s="29">
        <f>SUM(C38:C39)</f>
        <v>97750</v>
      </c>
      <c r="D37" s="29">
        <f>SUM(D38:D39)</f>
        <v>240593.81</v>
      </c>
      <c r="E37" s="29">
        <f>SUM(E38:E39)</f>
        <v>240593.74</v>
      </c>
    </row>
    <row r="38" spans="2:5" ht="18" customHeight="1" x14ac:dyDescent="0.25">
      <c r="B38" s="10" t="s">
        <v>29</v>
      </c>
      <c r="C38" s="28">
        <v>47750</v>
      </c>
      <c r="D38" s="28">
        <v>73872.960000000006</v>
      </c>
      <c r="E38" s="28">
        <v>73872.960000000006</v>
      </c>
    </row>
    <row r="39" spans="2:5" ht="18" customHeight="1" x14ac:dyDescent="0.25">
      <c r="B39" s="10" t="s">
        <v>30</v>
      </c>
      <c r="C39" s="28">
        <v>50000</v>
      </c>
      <c r="D39" s="28">
        <v>166720.85</v>
      </c>
      <c r="E39" s="28">
        <v>166720.78</v>
      </c>
    </row>
    <row r="40" spans="2:5" ht="18" customHeight="1" x14ac:dyDescent="0.25">
      <c r="B40" s="13" t="s">
        <v>15</v>
      </c>
      <c r="C40" s="29">
        <f>SUM(C41:C42)</f>
        <v>130000</v>
      </c>
      <c r="D40" s="29">
        <f>SUM(D41:D42)</f>
        <v>294660</v>
      </c>
      <c r="E40" s="29">
        <f>SUM(E41:E42)</f>
        <v>294660</v>
      </c>
    </row>
    <row r="41" spans="2:5" ht="18" customHeight="1" x14ac:dyDescent="0.25">
      <c r="B41" s="10" t="s">
        <v>11</v>
      </c>
      <c r="C41" s="28">
        <v>30000</v>
      </c>
      <c r="D41" s="28">
        <v>97020</v>
      </c>
      <c r="E41" s="28">
        <v>97020</v>
      </c>
    </row>
    <row r="42" spans="2:5" ht="18" customHeight="1" x14ac:dyDescent="0.25">
      <c r="B42" s="10" t="s">
        <v>12</v>
      </c>
      <c r="C42" s="28">
        <v>100000</v>
      </c>
      <c r="D42" s="28">
        <v>197640</v>
      </c>
      <c r="E42" s="28">
        <v>197640</v>
      </c>
    </row>
    <row r="43" spans="2:5" ht="18" customHeight="1" thickBot="1" x14ac:dyDescent="0.3">
      <c r="B43" s="22" t="s">
        <v>16</v>
      </c>
      <c r="C43" s="30">
        <v>119095</v>
      </c>
      <c r="D43" s="36">
        <v>414544.57</v>
      </c>
      <c r="E43" s="36">
        <v>414544.57</v>
      </c>
    </row>
    <row r="44" spans="2:5" ht="30.75" customHeight="1" thickBot="1" x14ac:dyDescent="0.35">
      <c r="B44" s="15" t="s">
        <v>24</v>
      </c>
      <c r="C44" s="19">
        <f>SUM(C45:C47)</f>
        <v>186300</v>
      </c>
      <c r="D44" s="35">
        <f>SUM(D45:D47)</f>
        <v>341594.57</v>
      </c>
      <c r="E44" s="35">
        <f>SUM(E45:E47)</f>
        <v>341594.57</v>
      </c>
    </row>
    <row r="45" spans="2:5" ht="18" customHeight="1" x14ac:dyDescent="0.25">
      <c r="B45" s="23" t="s">
        <v>17</v>
      </c>
      <c r="C45" s="24">
        <v>158800</v>
      </c>
      <c r="D45" s="28">
        <v>187592.76</v>
      </c>
      <c r="E45" s="28">
        <v>187592.76</v>
      </c>
    </row>
    <row r="46" spans="2:5" ht="18" customHeight="1" x14ac:dyDescent="0.25">
      <c r="B46" s="23" t="s">
        <v>39</v>
      </c>
      <c r="C46" s="6"/>
      <c r="D46" s="28">
        <v>13.61</v>
      </c>
      <c r="E46" s="28">
        <v>13.61</v>
      </c>
    </row>
    <row r="47" spans="2:5" ht="18" customHeight="1" thickBot="1" x14ac:dyDescent="0.3">
      <c r="B47" s="25" t="s">
        <v>25</v>
      </c>
      <c r="C47" s="20">
        <v>27500</v>
      </c>
      <c r="D47" s="34">
        <v>153988.20000000001</v>
      </c>
      <c r="E47" s="34">
        <v>153988.20000000001</v>
      </c>
    </row>
    <row r="48" spans="2:5" ht="30.75" customHeight="1" thickBot="1" x14ac:dyDescent="0.35">
      <c r="B48" s="15" t="s">
        <v>26</v>
      </c>
      <c r="C48" s="19">
        <f>SUM(C49)</f>
        <v>3200</v>
      </c>
      <c r="D48" s="35">
        <f>SUM(D49)</f>
        <v>4820.5</v>
      </c>
      <c r="E48" s="35">
        <f>SUM(E49)</f>
        <v>4820.5</v>
      </c>
    </row>
    <row r="49" spans="2:5" ht="21.75" customHeight="1" thickBot="1" x14ac:dyDescent="0.3">
      <c r="B49" s="26" t="s">
        <v>27</v>
      </c>
      <c r="C49" s="20">
        <v>3200</v>
      </c>
      <c r="D49" s="34">
        <v>4820.5</v>
      </c>
      <c r="E49" s="34">
        <v>4820.5</v>
      </c>
    </row>
    <row r="50" spans="2:5" ht="30.75" customHeight="1" thickBot="1" x14ac:dyDescent="0.35">
      <c r="B50" s="15" t="s">
        <v>40</v>
      </c>
      <c r="C50" s="19">
        <f>SUM(C51:C53)</f>
        <v>0</v>
      </c>
      <c r="D50" s="42">
        <f>SUM(D51:D53)</f>
        <v>765</v>
      </c>
      <c r="E50" s="42">
        <f>SUM(E51:E53)</f>
        <v>765</v>
      </c>
    </row>
    <row r="51" spans="2:5" ht="21.75" customHeight="1" x14ac:dyDescent="0.25">
      <c r="B51" s="23" t="s">
        <v>41</v>
      </c>
      <c r="C51" s="37"/>
      <c r="D51" s="28"/>
      <c r="E51" s="28"/>
    </row>
    <row r="52" spans="2:5" ht="21.75" customHeight="1" x14ac:dyDescent="0.25">
      <c r="B52" s="39" t="s">
        <v>42</v>
      </c>
      <c r="C52" s="40"/>
      <c r="D52" s="41">
        <v>765</v>
      </c>
      <c r="E52" s="41">
        <v>765</v>
      </c>
    </row>
    <row r="53" spans="2:5" ht="21.75" customHeight="1" thickBot="1" x14ac:dyDescent="0.3">
      <c r="B53" s="23" t="s">
        <v>43</v>
      </c>
      <c r="C53" s="20"/>
      <c r="D53" s="34"/>
      <c r="E53" s="41"/>
    </row>
    <row r="54" spans="2:5" ht="36" customHeight="1" thickBot="1" x14ac:dyDescent="0.35">
      <c r="B54" s="16" t="s">
        <v>5</v>
      </c>
      <c r="C54" s="21">
        <f>SUM(C14+C22+C44+C48+C50)</f>
        <v>36089465</v>
      </c>
      <c r="D54" s="5">
        <f>SUM(D14+D22+D44+D48+D50)</f>
        <v>40316184.999999993</v>
      </c>
      <c r="E54" s="5">
        <f>SUM(E14+E22+E44+E48+E50)</f>
        <v>40316156.259999998</v>
      </c>
    </row>
    <row r="55" spans="2:5" ht="18" customHeight="1" x14ac:dyDescent="0.25">
      <c r="B55" s="60"/>
      <c r="C55" s="60"/>
      <c r="E55" s="46"/>
    </row>
    <row r="56" spans="2:5" ht="18" customHeight="1" x14ac:dyDescent="0.25">
      <c r="B56" s="48" t="s">
        <v>61</v>
      </c>
      <c r="E56" s="47"/>
    </row>
    <row r="57" spans="2:5" ht="18" customHeight="1" x14ac:dyDescent="0.2">
      <c r="B57" s="67"/>
      <c r="C57" s="68"/>
      <c r="D57" s="68"/>
    </row>
    <row r="58" spans="2:5" ht="18" customHeight="1" x14ac:dyDescent="0.2">
      <c r="B58" s="14"/>
    </row>
    <row r="59" spans="2:5" ht="18" customHeight="1" x14ac:dyDescent="0.2">
      <c r="B59" s="43"/>
    </row>
    <row r="60" spans="2:5" ht="18" customHeight="1" x14ac:dyDescent="0.2">
      <c r="B60" s="38"/>
    </row>
    <row r="61" spans="2:5" ht="18" customHeight="1" x14ac:dyDescent="0.2">
      <c r="B61" s="38"/>
    </row>
  </sheetData>
  <mergeCells count="16">
    <mergeCell ref="B55:C55"/>
    <mergeCell ref="B57:D57"/>
    <mergeCell ref="B14:B15"/>
    <mergeCell ref="C14:C15"/>
    <mergeCell ref="D14:D15"/>
    <mergeCell ref="B22:B23"/>
    <mergeCell ref="C22:C23"/>
    <mergeCell ref="D22:D23"/>
    <mergeCell ref="E11:E13"/>
    <mergeCell ref="E14:E15"/>
    <mergeCell ref="E22:E23"/>
    <mergeCell ref="B6:D6"/>
    <mergeCell ref="B7:D7"/>
    <mergeCell ref="B11:B13"/>
    <mergeCell ref="C11:C13"/>
    <mergeCell ref="D11:D13"/>
  </mergeCells>
  <pageMargins left="0.59055118110236227" right="0" top="0" bottom="0" header="0" footer="0"/>
  <pageSetup scale="65" orientation="portrait" r:id="rId1"/>
  <headerFooter alignWithMargins="0"/>
  <ignoredErrors>
    <ignoredError sqref="C40:E4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61"/>
  <sheetViews>
    <sheetView topLeftCell="A3" workbookViewId="0">
      <selection activeCell="B7" sqref="B7:F7"/>
    </sheetView>
  </sheetViews>
  <sheetFormatPr baseColWidth="10" defaultRowHeight="18" customHeight="1" x14ac:dyDescent="0.2"/>
  <cols>
    <col min="1" max="1" width="4.140625" customWidth="1"/>
    <col min="2" max="2" width="66.7109375" customWidth="1"/>
    <col min="3" max="5" width="23.7109375" customWidth="1"/>
  </cols>
  <sheetData>
    <row r="1" spans="2:6" ht="18" customHeight="1" x14ac:dyDescent="0.2">
      <c r="B1" s="4" t="s">
        <v>38</v>
      </c>
    </row>
    <row r="2" spans="2:6" ht="18" customHeight="1" x14ac:dyDescent="0.2">
      <c r="B2" s="4" t="s">
        <v>3</v>
      </c>
    </row>
    <row r="3" spans="2:6" ht="18" customHeight="1" x14ac:dyDescent="0.2">
      <c r="B3" s="4" t="s">
        <v>4</v>
      </c>
    </row>
    <row r="4" spans="2:6" ht="10.5" customHeight="1" x14ac:dyDescent="0.2">
      <c r="B4" s="4"/>
    </row>
    <row r="5" spans="2:6" ht="28.5" customHeight="1" x14ac:dyDescent="0.2">
      <c r="B5" s="69" t="s">
        <v>62</v>
      </c>
      <c r="C5" s="69"/>
      <c r="D5" s="69"/>
      <c r="E5" s="69"/>
      <c r="F5" s="69"/>
    </row>
    <row r="6" spans="2:6" ht="28.5" customHeight="1" x14ac:dyDescent="0.2">
      <c r="B6" s="69"/>
      <c r="C6" s="69"/>
      <c r="D6" s="69"/>
      <c r="E6" s="69"/>
      <c r="F6" s="69"/>
    </row>
    <row r="7" spans="2:6" ht="25.5" customHeight="1" x14ac:dyDescent="0.3">
      <c r="B7" s="49" t="s">
        <v>64</v>
      </c>
      <c r="C7" s="49"/>
      <c r="D7" s="49"/>
      <c r="E7" s="49"/>
      <c r="F7" s="49"/>
    </row>
    <row r="8" spans="2:6" ht="18" customHeight="1" x14ac:dyDescent="0.2">
      <c r="B8" s="2" t="s">
        <v>1</v>
      </c>
      <c r="C8" s="3"/>
    </row>
    <row r="9" spans="2:6" ht="18" customHeight="1" x14ac:dyDescent="0.2">
      <c r="B9" s="2" t="s">
        <v>2</v>
      </c>
      <c r="C9" s="2"/>
    </row>
    <row r="10" spans="2:6" ht="12.75" customHeight="1" thickBot="1" x14ac:dyDescent="0.25">
      <c r="B10" s="1"/>
      <c r="C10" s="1"/>
    </row>
    <row r="11" spans="2:6" ht="18" customHeight="1" x14ac:dyDescent="0.2">
      <c r="B11" s="51" t="s">
        <v>0</v>
      </c>
      <c r="C11" s="54" t="s">
        <v>45</v>
      </c>
      <c r="D11" s="57" t="s">
        <v>46</v>
      </c>
      <c r="E11" s="57" t="s">
        <v>53</v>
      </c>
    </row>
    <row r="12" spans="2:6" ht="18" customHeight="1" x14ac:dyDescent="0.2">
      <c r="B12" s="52"/>
      <c r="C12" s="55"/>
      <c r="D12" s="58"/>
      <c r="E12" s="58"/>
    </row>
    <row r="13" spans="2:6" ht="6" customHeight="1" thickBot="1" x14ac:dyDescent="0.25">
      <c r="B13" s="53"/>
      <c r="C13" s="56"/>
      <c r="D13" s="59"/>
      <c r="E13" s="59"/>
    </row>
    <row r="14" spans="2:6" ht="18" customHeight="1" x14ac:dyDescent="0.2">
      <c r="B14" s="63" t="s">
        <v>6</v>
      </c>
      <c r="C14" s="65">
        <f>SUM(C16:C21)</f>
        <v>17813905</v>
      </c>
      <c r="D14" s="61">
        <f>SUM(D16:D21)</f>
        <v>17016627.330000002</v>
      </c>
      <c r="E14" s="61">
        <f>SUM(E16:E21)</f>
        <v>10309911.17</v>
      </c>
    </row>
    <row r="15" spans="2:6" ht="18" customHeight="1" thickBot="1" x14ac:dyDescent="0.25">
      <c r="B15" s="64"/>
      <c r="C15" s="66"/>
      <c r="D15" s="62"/>
      <c r="E15" s="62"/>
    </row>
    <row r="16" spans="2:6" ht="18" customHeight="1" x14ac:dyDescent="0.25">
      <c r="B16" s="17" t="s">
        <v>33</v>
      </c>
      <c r="C16" s="18">
        <f>14351840+601450</f>
        <v>14953290</v>
      </c>
      <c r="D16" s="28">
        <f>13671737.17+267322.23</f>
        <v>13939059.4</v>
      </c>
      <c r="E16" s="28">
        <v>8790347.8100000005</v>
      </c>
    </row>
    <row r="17" spans="2:5" ht="18" customHeight="1" x14ac:dyDescent="0.25">
      <c r="B17" s="9" t="s">
        <v>34</v>
      </c>
      <c r="C17" s="18">
        <v>880385</v>
      </c>
      <c r="D17" s="28">
        <v>880385</v>
      </c>
      <c r="E17" s="28"/>
    </row>
    <row r="18" spans="2:5" ht="18" customHeight="1" x14ac:dyDescent="0.25">
      <c r="B18" s="9" t="s">
        <v>44</v>
      </c>
      <c r="C18" s="18"/>
      <c r="D18" s="28"/>
      <c r="E18" s="28"/>
    </row>
    <row r="19" spans="2:5" ht="18" customHeight="1" x14ac:dyDescent="0.25">
      <c r="B19" s="9" t="s">
        <v>35</v>
      </c>
      <c r="C19" s="18">
        <v>1306505</v>
      </c>
      <c r="D19" s="28">
        <v>1181493.23</v>
      </c>
      <c r="E19" s="28">
        <v>730345.25</v>
      </c>
    </row>
    <row r="20" spans="2:5" ht="18" customHeight="1" x14ac:dyDescent="0.25">
      <c r="B20" s="10" t="s">
        <v>36</v>
      </c>
      <c r="C20" s="18">
        <v>673725</v>
      </c>
      <c r="D20" s="28">
        <v>662410.34</v>
      </c>
      <c r="E20" s="28">
        <v>435938.75</v>
      </c>
    </row>
    <row r="21" spans="2:5" ht="18" customHeight="1" thickBot="1" x14ac:dyDescent="0.3">
      <c r="B21" s="32" t="s">
        <v>37</v>
      </c>
      <c r="C21" s="33"/>
      <c r="D21" s="31">
        <v>353279.36</v>
      </c>
      <c r="E21" s="31">
        <v>353279.36</v>
      </c>
    </row>
    <row r="22" spans="2:5" ht="18" customHeight="1" x14ac:dyDescent="0.2">
      <c r="B22" s="63" t="s">
        <v>31</v>
      </c>
      <c r="C22" s="65">
        <f>C24+C29+C31+C37+C40+C43</f>
        <v>26872470</v>
      </c>
      <c r="D22" s="61">
        <f>D24+D29+D31+D37+D40+D43</f>
        <v>27331231.579999998</v>
      </c>
      <c r="E22" s="61">
        <f>E24+E29+E31+E37+E40+E43</f>
        <v>24541586.609999996</v>
      </c>
    </row>
    <row r="23" spans="2:5" ht="18" customHeight="1" thickBot="1" x14ac:dyDescent="0.25">
      <c r="B23" s="64"/>
      <c r="C23" s="66"/>
      <c r="D23" s="62"/>
      <c r="E23" s="62"/>
    </row>
    <row r="24" spans="2:5" ht="18" customHeight="1" x14ac:dyDescent="0.25">
      <c r="B24" s="8" t="s">
        <v>13</v>
      </c>
      <c r="C24" s="27">
        <f>SUM(C25:C28)</f>
        <v>2093685</v>
      </c>
      <c r="D24" s="27">
        <f>SUM(D25:D28)</f>
        <v>2113261.6500000004</v>
      </c>
      <c r="E24" s="27">
        <f>SUM(E25:E28)</f>
        <v>1679442.98</v>
      </c>
    </row>
    <row r="25" spans="2:5" ht="18" customHeight="1" x14ac:dyDescent="0.25">
      <c r="B25" s="9" t="s">
        <v>7</v>
      </c>
      <c r="C25" s="28">
        <v>1003065</v>
      </c>
      <c r="D25" s="28">
        <v>1006723.9</v>
      </c>
      <c r="E25" s="28">
        <v>815957.19</v>
      </c>
    </row>
    <row r="26" spans="2:5" ht="18" customHeight="1" x14ac:dyDescent="0.25">
      <c r="B26" s="9" t="s">
        <v>8</v>
      </c>
      <c r="C26" s="28">
        <v>830415</v>
      </c>
      <c r="D26" s="28">
        <v>883078.53</v>
      </c>
      <c r="E26" s="28">
        <v>677234.37</v>
      </c>
    </row>
    <row r="27" spans="2:5" ht="18" customHeight="1" x14ac:dyDescent="0.25">
      <c r="B27" s="9" t="s">
        <v>9</v>
      </c>
      <c r="C27" s="28">
        <v>256605</v>
      </c>
      <c r="D27" s="28">
        <v>219859.22</v>
      </c>
      <c r="E27" s="28">
        <v>184117.4</v>
      </c>
    </row>
    <row r="28" spans="2:5" ht="18" customHeight="1" x14ac:dyDescent="0.25">
      <c r="B28" s="10" t="s">
        <v>10</v>
      </c>
      <c r="C28" s="28">
        <v>3600</v>
      </c>
      <c r="D28" s="28">
        <v>3600</v>
      </c>
      <c r="E28" s="28">
        <v>2134.02</v>
      </c>
    </row>
    <row r="29" spans="2:5" ht="18" customHeight="1" x14ac:dyDescent="0.25">
      <c r="B29" s="11" t="s">
        <v>14</v>
      </c>
      <c r="C29" s="7">
        <f>SUM(C30)</f>
        <v>23124250</v>
      </c>
      <c r="D29" s="29">
        <f>SUM(D30)</f>
        <v>23124250</v>
      </c>
      <c r="E29" s="29">
        <f>SUM(E30)</f>
        <v>21644144.699999999</v>
      </c>
    </row>
    <row r="30" spans="2:5" ht="18" customHeight="1" x14ac:dyDescent="0.25">
      <c r="B30" s="12" t="s">
        <v>18</v>
      </c>
      <c r="C30" s="28">
        <v>23124250</v>
      </c>
      <c r="D30" s="28">
        <v>23124250</v>
      </c>
      <c r="E30" s="28">
        <v>21644144.699999999</v>
      </c>
    </row>
    <row r="31" spans="2:5" ht="18" customHeight="1" x14ac:dyDescent="0.25">
      <c r="B31" s="13" t="s">
        <v>23</v>
      </c>
      <c r="C31" s="29">
        <f>SUM(C32:C36)</f>
        <v>603725</v>
      </c>
      <c r="D31" s="29">
        <f>SUM(D32:D36)</f>
        <v>717250.03</v>
      </c>
      <c r="E31" s="29">
        <f>SUM(E32:E36)</f>
        <v>408328.08</v>
      </c>
    </row>
    <row r="32" spans="2:5" ht="18" customHeight="1" x14ac:dyDescent="0.25">
      <c r="B32" s="10" t="s">
        <v>22</v>
      </c>
      <c r="C32" s="28">
        <v>26070</v>
      </c>
      <c r="D32" s="28">
        <v>85062.2</v>
      </c>
      <c r="E32" s="28">
        <v>49755.05</v>
      </c>
    </row>
    <row r="33" spans="2:5" ht="18" customHeight="1" x14ac:dyDescent="0.25">
      <c r="B33" s="10" t="s">
        <v>32</v>
      </c>
      <c r="C33" s="28">
        <v>32190</v>
      </c>
      <c r="D33" s="28">
        <v>65526.54</v>
      </c>
      <c r="E33" s="28">
        <v>39116.82</v>
      </c>
    </row>
    <row r="34" spans="2:5" ht="18" customHeight="1" x14ac:dyDescent="0.25">
      <c r="B34" s="10" t="s">
        <v>21</v>
      </c>
      <c r="C34" s="28">
        <f>128010+16865</f>
        <v>144875</v>
      </c>
      <c r="D34" s="28">
        <f>152280.69+39162.17</f>
        <v>191442.86</v>
      </c>
      <c r="E34" s="28">
        <f>125025.39+39162.17</f>
        <v>164187.56</v>
      </c>
    </row>
    <row r="35" spans="2:5" ht="18" customHeight="1" x14ac:dyDescent="0.25">
      <c r="B35" s="10" t="s">
        <v>19</v>
      </c>
      <c r="C35" s="28">
        <v>325565</v>
      </c>
      <c r="D35" s="28">
        <v>301947.65999999997</v>
      </c>
      <c r="E35" s="28">
        <v>151947.88</v>
      </c>
    </row>
    <row r="36" spans="2:5" ht="18" customHeight="1" x14ac:dyDescent="0.25">
      <c r="B36" s="10" t="s">
        <v>20</v>
      </c>
      <c r="C36" s="28">
        <v>75025</v>
      </c>
      <c r="D36" s="28">
        <v>73270.77</v>
      </c>
      <c r="E36" s="28">
        <v>3320.77</v>
      </c>
    </row>
    <row r="37" spans="2:5" ht="18" customHeight="1" x14ac:dyDescent="0.25">
      <c r="B37" s="13" t="s">
        <v>28</v>
      </c>
      <c r="C37" s="29">
        <f>SUM(C38:C39)</f>
        <v>522885</v>
      </c>
      <c r="D37" s="29">
        <f>SUM(D38:D39)</f>
        <v>484793.16000000003</v>
      </c>
      <c r="E37" s="29">
        <f>SUM(E38:E39)</f>
        <v>262834.90000000002</v>
      </c>
    </row>
    <row r="38" spans="2:5" ht="18" customHeight="1" x14ac:dyDescent="0.25">
      <c r="B38" s="10" t="s">
        <v>29</v>
      </c>
      <c r="C38" s="28">
        <v>206545</v>
      </c>
      <c r="D38" s="28">
        <v>123331.91</v>
      </c>
      <c r="E38" s="28">
        <v>46045.45</v>
      </c>
    </row>
    <row r="39" spans="2:5" ht="18" customHeight="1" x14ac:dyDescent="0.25">
      <c r="B39" s="10" t="s">
        <v>30</v>
      </c>
      <c r="C39" s="28">
        <v>316340</v>
      </c>
      <c r="D39" s="28">
        <v>361461.25</v>
      </c>
      <c r="E39" s="28">
        <v>216789.45</v>
      </c>
    </row>
    <row r="40" spans="2:5" ht="18" customHeight="1" x14ac:dyDescent="0.25">
      <c r="B40" s="13" t="s">
        <v>15</v>
      </c>
      <c r="C40" s="29">
        <f>SUM(C41:C42)</f>
        <v>303480</v>
      </c>
      <c r="D40" s="29">
        <f>SUM(D41:D42)</f>
        <v>301960</v>
      </c>
      <c r="E40" s="29">
        <f>SUM(E41:E42)</f>
        <v>196574</v>
      </c>
    </row>
    <row r="41" spans="2:5" ht="18" customHeight="1" x14ac:dyDescent="0.25">
      <c r="B41" s="10" t="s">
        <v>11</v>
      </c>
      <c r="C41" s="28">
        <v>105840</v>
      </c>
      <c r="D41" s="28">
        <v>104320</v>
      </c>
      <c r="E41" s="28">
        <v>65464</v>
      </c>
    </row>
    <row r="42" spans="2:5" ht="18" customHeight="1" x14ac:dyDescent="0.25">
      <c r="B42" s="10" t="s">
        <v>12</v>
      </c>
      <c r="C42" s="28">
        <v>197640</v>
      </c>
      <c r="D42" s="28">
        <v>197640</v>
      </c>
      <c r="E42" s="28">
        <v>131110</v>
      </c>
    </row>
    <row r="43" spans="2:5" ht="18" customHeight="1" thickBot="1" x14ac:dyDescent="0.3">
      <c r="B43" s="22" t="s">
        <v>16</v>
      </c>
      <c r="C43" s="30">
        <v>224445</v>
      </c>
      <c r="D43" s="36">
        <v>589716.74</v>
      </c>
      <c r="E43" s="36">
        <v>350261.95</v>
      </c>
    </row>
    <row r="44" spans="2:5" ht="30.75" customHeight="1" thickBot="1" x14ac:dyDescent="0.35">
      <c r="B44" s="15" t="s">
        <v>24</v>
      </c>
      <c r="C44" s="19">
        <f>SUM(C45:C47)</f>
        <v>186510</v>
      </c>
      <c r="D44" s="35">
        <f>SUM(D45:D47)</f>
        <v>343998.89</v>
      </c>
      <c r="E44" s="35">
        <f>SUM(E45:E47)</f>
        <v>268223.58</v>
      </c>
    </row>
    <row r="45" spans="2:5" ht="18" customHeight="1" x14ac:dyDescent="0.25">
      <c r="B45" s="23" t="s">
        <v>17</v>
      </c>
      <c r="C45" s="24">
        <v>153425</v>
      </c>
      <c r="D45" s="28">
        <v>220714.26</v>
      </c>
      <c r="E45" s="28">
        <v>185994.79</v>
      </c>
    </row>
    <row r="46" spans="2:5" ht="18" customHeight="1" x14ac:dyDescent="0.25">
      <c r="B46" s="23" t="s">
        <v>39</v>
      </c>
      <c r="C46" s="6"/>
      <c r="D46" s="28">
        <v>1469.4</v>
      </c>
      <c r="E46" s="28">
        <v>1469.4</v>
      </c>
    </row>
    <row r="47" spans="2:5" ht="18" customHeight="1" thickBot="1" x14ac:dyDescent="0.3">
      <c r="B47" s="25" t="s">
        <v>25</v>
      </c>
      <c r="C47" s="20">
        <v>33085</v>
      </c>
      <c r="D47" s="34">
        <v>121815.23</v>
      </c>
      <c r="E47" s="34">
        <v>80759.39</v>
      </c>
    </row>
    <row r="48" spans="2:5" ht="30.75" customHeight="1" thickBot="1" x14ac:dyDescent="0.35">
      <c r="B48" s="15" t="s">
        <v>26</v>
      </c>
      <c r="C48" s="19">
        <f>SUM(C49)</f>
        <v>3200</v>
      </c>
      <c r="D48" s="35">
        <f>SUM(D49)</f>
        <v>6200</v>
      </c>
      <c r="E48" s="35">
        <f>SUM(E49)</f>
        <v>3735.82</v>
      </c>
    </row>
    <row r="49" spans="2:5" ht="21.75" customHeight="1" thickBot="1" x14ac:dyDescent="0.3">
      <c r="B49" s="26" t="s">
        <v>27</v>
      </c>
      <c r="C49" s="20">
        <v>3200</v>
      </c>
      <c r="D49" s="34">
        <v>6200</v>
      </c>
      <c r="E49" s="34">
        <v>3735.82</v>
      </c>
    </row>
    <row r="50" spans="2:5" ht="30.75" customHeight="1" thickBot="1" x14ac:dyDescent="0.35">
      <c r="B50" s="15" t="s">
        <v>40</v>
      </c>
      <c r="C50" s="19">
        <f>SUM(C51:C53)</f>
        <v>0</v>
      </c>
      <c r="D50" s="42">
        <f>SUM(D51:D53)</f>
        <v>178027.2</v>
      </c>
      <c r="E50" s="42">
        <f>SUM(E51:E53)</f>
        <v>845</v>
      </c>
    </row>
    <row r="51" spans="2:5" ht="21.75" customHeight="1" x14ac:dyDescent="0.25">
      <c r="B51" s="23" t="s">
        <v>63</v>
      </c>
      <c r="C51" s="37"/>
      <c r="D51" s="28">
        <f>32340+137842.2</f>
        <v>170182.2</v>
      </c>
      <c r="E51" s="28"/>
    </row>
    <row r="52" spans="2:5" ht="21.75" customHeight="1" x14ac:dyDescent="0.25">
      <c r="B52" s="39" t="s">
        <v>42</v>
      </c>
      <c r="C52" s="40"/>
      <c r="D52" s="41">
        <v>845</v>
      </c>
      <c r="E52" s="41">
        <v>845</v>
      </c>
    </row>
    <row r="53" spans="2:5" ht="21.75" customHeight="1" thickBot="1" x14ac:dyDescent="0.3">
      <c r="B53" s="23" t="s">
        <v>43</v>
      </c>
      <c r="C53" s="20"/>
      <c r="D53" s="34">
        <v>7000</v>
      </c>
      <c r="E53" s="41"/>
    </row>
    <row r="54" spans="2:5" ht="36" customHeight="1" thickBot="1" x14ac:dyDescent="0.35">
      <c r="B54" s="16" t="s">
        <v>5</v>
      </c>
      <c r="C54" s="21">
        <f>SUM(C14+C22+C44+C48+C50)</f>
        <v>44876085</v>
      </c>
      <c r="D54" s="5">
        <f>SUM(D14+D22+D44+D48+D50)</f>
        <v>44876085</v>
      </c>
      <c r="E54" s="5">
        <f>SUM(E14+E22+E44+E48+E50)</f>
        <v>35124302.179999992</v>
      </c>
    </row>
    <row r="55" spans="2:5" ht="18" customHeight="1" x14ac:dyDescent="0.2">
      <c r="B55" s="60"/>
      <c r="C55" s="60"/>
    </row>
    <row r="56" spans="2:5" ht="18" customHeight="1" x14ac:dyDescent="0.25">
      <c r="B56" s="48" t="s">
        <v>61</v>
      </c>
    </row>
    <row r="57" spans="2:5" ht="18" customHeight="1" x14ac:dyDescent="0.2">
      <c r="B57" s="67"/>
      <c r="C57" s="68"/>
      <c r="D57" s="68"/>
    </row>
    <row r="58" spans="2:5" ht="18" customHeight="1" x14ac:dyDescent="0.2">
      <c r="B58" s="14"/>
    </row>
    <row r="59" spans="2:5" ht="18" customHeight="1" x14ac:dyDescent="0.2">
      <c r="B59" s="43"/>
    </row>
    <row r="60" spans="2:5" ht="18" customHeight="1" x14ac:dyDescent="0.2">
      <c r="B60" s="38"/>
    </row>
    <row r="61" spans="2:5" ht="18" customHeight="1" x14ac:dyDescent="0.2">
      <c r="B61" s="38"/>
    </row>
  </sheetData>
  <mergeCells count="16">
    <mergeCell ref="B55:C55"/>
    <mergeCell ref="B57:D57"/>
    <mergeCell ref="B14:B15"/>
    <mergeCell ref="C14:C15"/>
    <mergeCell ref="D14:D15"/>
    <mergeCell ref="B22:B23"/>
    <mergeCell ref="C22:C23"/>
    <mergeCell ref="D22:D23"/>
    <mergeCell ref="E11:E13"/>
    <mergeCell ref="E14:E15"/>
    <mergeCell ref="E22:E23"/>
    <mergeCell ref="B5:F6"/>
    <mergeCell ref="B11:B13"/>
    <mergeCell ref="C11:C13"/>
    <mergeCell ref="D11:D13"/>
    <mergeCell ref="B7:F7"/>
  </mergeCells>
  <pageMargins left="0.59055118110236227" right="0" top="0" bottom="0" header="0" footer="0"/>
  <pageSetup scale="65" orientation="portrait" r:id="rId1"/>
  <headerFooter alignWithMargins="0"/>
  <ignoredErrors>
    <ignoredError sqref="C40:E40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2009</vt:lpstr>
      <vt:lpstr>2010</vt:lpstr>
      <vt:lpstr>2011</vt:lpstr>
      <vt:lpstr>2012</vt:lpstr>
      <vt:lpstr>2013</vt:lpstr>
      <vt:lpstr>2014</vt:lpstr>
      <vt:lpstr>2015</vt:lpstr>
      <vt:lpstr>Hoja1</vt:lpstr>
    </vt:vector>
  </TitlesOfParts>
  <Company>MINISTERIO DE HACIENDA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 SAFI</dc:creator>
  <cp:lastModifiedBy>Metzengerstein13</cp:lastModifiedBy>
  <cp:lastPrinted>2015-09-10T16:55:24Z</cp:lastPrinted>
  <dcterms:created xsi:type="dcterms:W3CDTF">2000-01-19T14:17:28Z</dcterms:created>
  <dcterms:modified xsi:type="dcterms:W3CDTF">2015-11-16T18:40:06Z</dcterms:modified>
</cp:coreProperties>
</file>