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AIP\Desktop\"/>
    </mc:Choice>
  </mc:AlternateContent>
  <bookViews>
    <workbookView xWindow="0" yWindow="0" windowWidth="20490" windowHeight="7755" tabRatio="840"/>
  </bookViews>
  <sheets>
    <sheet name="25.04.17" sheetId="2" r:id="rId1"/>
    <sheet name="25.04.17 SM " sheetId="23" r:id="rId2"/>
    <sheet name="Quemas de caña " sheetId="24" r:id="rId3"/>
    <sheet name="Semanal " sheetId="25" state="hidden" r:id="rId4"/>
    <sheet name="Acumulado " sheetId="26" r:id="rId5"/>
  </sheets>
  <externalReferences>
    <externalReference r:id="rId6"/>
  </externalReferences>
  <definedNames>
    <definedName name="_xlnm.Print_Area" localSheetId="0">'25.04.17'!$A$1:$V$19</definedName>
    <definedName name="_xlnm.Print_Area" localSheetId="1">'25.04.17 SM '!$A$1:$T$19</definedName>
  </definedNames>
  <calcPr calcId="152511"/>
</workbook>
</file>

<file path=xl/calcChain.xml><?xml version="1.0" encoding="utf-8"?>
<calcChain xmlns="http://schemas.openxmlformats.org/spreadsheetml/2006/main">
  <c r="R12" i="23" l="1"/>
  <c r="R13" i="23"/>
  <c r="R14" i="23"/>
  <c r="R15" i="23"/>
  <c r="R11" i="23"/>
  <c r="R10" i="23"/>
  <c r="C16" i="24" l="1"/>
  <c r="G14" i="2" l="1"/>
  <c r="H19" i="24" l="1"/>
  <c r="E12" i="25" l="1"/>
  <c r="P30" i="26" l="1"/>
  <c r="O30" i="26"/>
  <c r="N30" i="26"/>
  <c r="L30" i="26"/>
  <c r="K30" i="26"/>
  <c r="I30" i="26"/>
  <c r="G30" i="26"/>
  <c r="F30" i="26"/>
  <c r="W27" i="26"/>
  <c r="V27" i="26"/>
  <c r="R27" i="26"/>
  <c r="M27" i="26"/>
  <c r="Q27" i="26" s="1"/>
  <c r="J27" i="26"/>
  <c r="H27" i="26"/>
  <c r="V26" i="26"/>
  <c r="P26" i="26"/>
  <c r="O26" i="26"/>
  <c r="N26" i="26"/>
  <c r="L26" i="26"/>
  <c r="K26" i="26"/>
  <c r="I26" i="26"/>
  <c r="G26" i="26"/>
  <c r="F26" i="26"/>
  <c r="J26" i="26" s="1"/>
  <c r="W24" i="26"/>
  <c r="V24" i="26"/>
  <c r="R24" i="26"/>
  <c r="M24" i="26"/>
  <c r="Q24" i="26" s="1"/>
  <c r="J24" i="26"/>
  <c r="H24" i="26"/>
  <c r="V23" i="26"/>
  <c r="P23" i="26"/>
  <c r="O23" i="26"/>
  <c r="N23" i="26"/>
  <c r="L23" i="26"/>
  <c r="K23" i="26"/>
  <c r="I23" i="26"/>
  <c r="G23" i="26"/>
  <c r="F23" i="26"/>
  <c r="W23" i="26" s="1"/>
  <c r="W21" i="26"/>
  <c r="V21" i="26"/>
  <c r="R21" i="26"/>
  <c r="M21" i="26"/>
  <c r="Q21" i="26" s="1"/>
  <c r="J21" i="26"/>
  <c r="H21" i="26"/>
  <c r="V20" i="26"/>
  <c r="P20" i="26"/>
  <c r="O20" i="26"/>
  <c r="N20" i="26"/>
  <c r="L20" i="26"/>
  <c r="K20" i="26"/>
  <c r="I20" i="26"/>
  <c r="G20" i="26"/>
  <c r="F20" i="26"/>
  <c r="W18" i="26"/>
  <c r="V18" i="26"/>
  <c r="R18" i="26"/>
  <c r="M18" i="26"/>
  <c r="Q18" i="26" s="1"/>
  <c r="J18" i="26"/>
  <c r="H18" i="26"/>
  <c r="V17" i="26"/>
  <c r="P17" i="26"/>
  <c r="O17" i="26"/>
  <c r="N17" i="26"/>
  <c r="L17" i="26"/>
  <c r="K17" i="26"/>
  <c r="M17" i="26" s="1"/>
  <c r="I17" i="26"/>
  <c r="G17" i="26"/>
  <c r="F17" i="26"/>
  <c r="W15" i="26"/>
  <c r="V15" i="26"/>
  <c r="R15" i="26"/>
  <c r="M15" i="26"/>
  <c r="Q15" i="26" s="1"/>
  <c r="J15" i="26"/>
  <c r="H15" i="26"/>
  <c r="V14" i="26"/>
  <c r="P14" i="26"/>
  <c r="O14" i="26"/>
  <c r="N14" i="26"/>
  <c r="L14" i="26"/>
  <c r="K14" i="26"/>
  <c r="I14" i="26"/>
  <c r="G14" i="26"/>
  <c r="F14" i="26"/>
  <c r="W12" i="26"/>
  <c r="V12" i="26"/>
  <c r="R12" i="26"/>
  <c r="M12" i="26"/>
  <c r="Q12" i="26" s="1"/>
  <c r="J12" i="26"/>
  <c r="H12" i="26"/>
  <c r="V11" i="26"/>
  <c r="P11" i="26"/>
  <c r="O11" i="26"/>
  <c r="N11" i="26"/>
  <c r="L11" i="26"/>
  <c r="K11" i="26"/>
  <c r="I11" i="26"/>
  <c r="G11" i="26"/>
  <c r="F11" i="26"/>
  <c r="P28" i="25"/>
  <c r="M28" i="25"/>
  <c r="L28" i="25"/>
  <c r="K28" i="25"/>
  <c r="I28" i="25"/>
  <c r="H28" i="25"/>
  <c r="F28" i="25"/>
  <c r="E28" i="25"/>
  <c r="Q28" i="25" s="1"/>
  <c r="P27" i="25"/>
  <c r="M27" i="25"/>
  <c r="L27" i="25"/>
  <c r="K27" i="25"/>
  <c r="I27" i="25"/>
  <c r="H27" i="25"/>
  <c r="F27" i="25"/>
  <c r="E27" i="25"/>
  <c r="Q27" i="25" s="1"/>
  <c r="R28" i="25" s="1"/>
  <c r="P25" i="25"/>
  <c r="M25" i="25"/>
  <c r="L25" i="25"/>
  <c r="K25" i="25"/>
  <c r="I25" i="25"/>
  <c r="H25" i="25"/>
  <c r="F25" i="25"/>
  <c r="E25" i="25"/>
  <c r="Q25" i="25" s="1"/>
  <c r="P24" i="25"/>
  <c r="M24" i="25"/>
  <c r="L24" i="25"/>
  <c r="K24" i="25"/>
  <c r="I24" i="25"/>
  <c r="H24" i="25"/>
  <c r="F24" i="25"/>
  <c r="E24" i="25"/>
  <c r="Q24" i="25" s="1"/>
  <c r="R25" i="25" s="1"/>
  <c r="P22" i="25"/>
  <c r="M22" i="25"/>
  <c r="L22" i="25"/>
  <c r="K22" i="25"/>
  <c r="I22" i="25"/>
  <c r="H22" i="25"/>
  <c r="F22" i="25"/>
  <c r="E22" i="25"/>
  <c r="Q22" i="25" s="1"/>
  <c r="P21" i="25"/>
  <c r="M21" i="25"/>
  <c r="L21" i="25"/>
  <c r="K21" i="25"/>
  <c r="I21" i="25"/>
  <c r="H21" i="25"/>
  <c r="F21" i="25"/>
  <c r="E21" i="25"/>
  <c r="Q21" i="25" s="1"/>
  <c r="R22" i="25" s="1"/>
  <c r="P19" i="25"/>
  <c r="M19" i="25"/>
  <c r="L19" i="25"/>
  <c r="K19" i="25"/>
  <c r="I19" i="25"/>
  <c r="H19" i="25"/>
  <c r="F19" i="25"/>
  <c r="E19" i="25"/>
  <c r="Q19" i="25" s="1"/>
  <c r="P18" i="25"/>
  <c r="M18" i="25"/>
  <c r="L18" i="25"/>
  <c r="K18" i="25"/>
  <c r="I18" i="25"/>
  <c r="H18" i="25"/>
  <c r="F18" i="25"/>
  <c r="E18" i="25"/>
  <c r="Q18" i="25" s="1"/>
  <c r="R19" i="25" s="1"/>
  <c r="P16" i="25"/>
  <c r="M16" i="25"/>
  <c r="L16" i="25"/>
  <c r="K16" i="25"/>
  <c r="I16" i="25"/>
  <c r="H16" i="25"/>
  <c r="F16" i="25"/>
  <c r="E16" i="25"/>
  <c r="Q16" i="25" s="1"/>
  <c r="P15" i="25"/>
  <c r="M15" i="25"/>
  <c r="L15" i="25"/>
  <c r="K15" i="25"/>
  <c r="I15" i="25"/>
  <c r="H15" i="25"/>
  <c r="F15" i="25"/>
  <c r="E15" i="25"/>
  <c r="E30" i="25" s="1"/>
  <c r="P13" i="25"/>
  <c r="M13" i="25"/>
  <c r="M31" i="25" s="1"/>
  <c r="L13" i="25"/>
  <c r="L31" i="25" s="1"/>
  <c r="K13" i="25"/>
  <c r="K31" i="25" s="1"/>
  <c r="I13" i="25"/>
  <c r="I31" i="25" s="1"/>
  <c r="H13" i="25"/>
  <c r="H31" i="25" s="1"/>
  <c r="F13" i="25"/>
  <c r="E13" i="25"/>
  <c r="E31" i="25" s="1"/>
  <c r="Q12" i="25"/>
  <c r="P12" i="25"/>
  <c r="M12" i="25"/>
  <c r="L12" i="25"/>
  <c r="L30" i="25" s="1"/>
  <c r="K12" i="25"/>
  <c r="K30" i="25" s="1"/>
  <c r="I12" i="25"/>
  <c r="H12" i="25"/>
  <c r="F12" i="25"/>
  <c r="G12" i="25" s="1"/>
  <c r="E19" i="24"/>
  <c r="D19" i="24"/>
  <c r="C19" i="24"/>
  <c r="I18" i="24"/>
  <c r="G18" i="24"/>
  <c r="F18" i="24"/>
  <c r="I17" i="24"/>
  <c r="F17" i="24"/>
  <c r="G17" i="24" s="1"/>
  <c r="I16" i="24"/>
  <c r="F16" i="24"/>
  <c r="I15" i="24"/>
  <c r="F15" i="24"/>
  <c r="G15" i="24" s="1"/>
  <c r="I14" i="24"/>
  <c r="F14" i="24"/>
  <c r="G14" i="24" s="1"/>
  <c r="I13" i="24"/>
  <c r="F13" i="24"/>
  <c r="G13" i="24" s="1"/>
  <c r="N16" i="23"/>
  <c r="S15" i="23"/>
  <c r="Q15" i="23"/>
  <c r="P15" i="23"/>
  <c r="O15" i="23"/>
  <c r="M15" i="23"/>
  <c r="I15" i="23"/>
  <c r="G15" i="23"/>
  <c r="F15" i="23"/>
  <c r="E15" i="23"/>
  <c r="C15" i="23"/>
  <c r="B15" i="23"/>
  <c r="S14" i="23"/>
  <c r="Q14" i="23"/>
  <c r="P14" i="23"/>
  <c r="O14" i="23"/>
  <c r="M14" i="23"/>
  <c r="L14" i="23"/>
  <c r="I14" i="23"/>
  <c r="G14" i="23"/>
  <c r="F14" i="23"/>
  <c r="E14" i="23"/>
  <c r="C14" i="23"/>
  <c r="B14" i="23"/>
  <c r="S13" i="23"/>
  <c r="Q13" i="23"/>
  <c r="P13" i="23"/>
  <c r="O13" i="23"/>
  <c r="M13" i="23"/>
  <c r="L13" i="23"/>
  <c r="I13" i="23"/>
  <c r="G13" i="23"/>
  <c r="F13" i="23"/>
  <c r="E13" i="23"/>
  <c r="C13" i="23"/>
  <c r="B13" i="23"/>
  <c r="S12" i="23"/>
  <c r="Q12" i="23"/>
  <c r="P12" i="23"/>
  <c r="O12" i="23"/>
  <c r="M12" i="23"/>
  <c r="L12" i="23"/>
  <c r="I12" i="23"/>
  <c r="G12" i="23"/>
  <c r="F12" i="23"/>
  <c r="E12" i="23"/>
  <c r="C12" i="23"/>
  <c r="B12" i="23"/>
  <c r="S11" i="23"/>
  <c r="Q11" i="23"/>
  <c r="P11" i="23"/>
  <c r="O11" i="23"/>
  <c r="M11" i="23"/>
  <c r="L11" i="23"/>
  <c r="I11" i="23"/>
  <c r="G11" i="23"/>
  <c r="F11" i="23"/>
  <c r="E11" i="23"/>
  <c r="C11" i="23"/>
  <c r="B11" i="23"/>
  <c r="S10" i="23"/>
  <c r="Q10" i="23"/>
  <c r="P10" i="23"/>
  <c r="O10" i="23"/>
  <c r="M10" i="23"/>
  <c r="M16" i="23" s="1"/>
  <c r="L10" i="23"/>
  <c r="I10" i="23"/>
  <c r="I16" i="23" s="1"/>
  <c r="G10" i="23"/>
  <c r="F10" i="23"/>
  <c r="E10" i="23"/>
  <c r="C10" i="23"/>
  <c r="B10" i="23"/>
  <c r="O16" i="2"/>
  <c r="N16" i="2"/>
  <c r="J16" i="2"/>
  <c r="H16" i="2"/>
  <c r="G16" i="2"/>
  <c r="F16" i="2"/>
  <c r="D16" i="2"/>
  <c r="C16" i="2"/>
  <c r="P15" i="2"/>
  <c r="N15" i="23" s="1"/>
  <c r="I15" i="2"/>
  <c r="K15" i="2" s="1"/>
  <c r="J15" i="23" s="1"/>
  <c r="E15" i="2"/>
  <c r="P14" i="2"/>
  <c r="N14" i="23" s="1"/>
  <c r="I14" i="2"/>
  <c r="K14" i="2" s="1"/>
  <c r="J14" i="23" s="1"/>
  <c r="E14" i="2"/>
  <c r="P13" i="2"/>
  <c r="N13" i="23" s="1"/>
  <c r="I13" i="2"/>
  <c r="K13" i="2" s="1"/>
  <c r="J13" i="23" s="1"/>
  <c r="E13" i="2"/>
  <c r="P12" i="2"/>
  <c r="N12" i="23" s="1"/>
  <c r="I12" i="2"/>
  <c r="K12" i="2" s="1"/>
  <c r="J12" i="23" s="1"/>
  <c r="E12" i="2"/>
  <c r="P11" i="2"/>
  <c r="N11" i="23" s="1"/>
  <c r="I11" i="2"/>
  <c r="K11" i="2" s="1"/>
  <c r="J11" i="23" s="1"/>
  <c r="E11" i="2"/>
  <c r="P10" i="2"/>
  <c r="N10" i="23" s="1"/>
  <c r="I10" i="2"/>
  <c r="K10" i="2" s="1"/>
  <c r="J10" i="23" s="1"/>
  <c r="E10" i="2"/>
  <c r="H26" i="26" l="1"/>
  <c r="W26" i="26"/>
  <c r="H30" i="25"/>
  <c r="M30" i="25"/>
  <c r="G13" i="25"/>
  <c r="G16" i="25"/>
  <c r="G18" i="25"/>
  <c r="G22" i="25"/>
  <c r="G24" i="25"/>
  <c r="G28" i="25"/>
  <c r="R26" i="26"/>
  <c r="S26" i="26" s="1"/>
  <c r="H12" i="23"/>
  <c r="H15" i="23"/>
  <c r="I30" i="25"/>
  <c r="J15" i="25"/>
  <c r="J16" i="25"/>
  <c r="J18" i="25"/>
  <c r="J19" i="25"/>
  <c r="J21" i="25"/>
  <c r="J22" i="25"/>
  <c r="J24" i="25"/>
  <c r="J25" i="25"/>
  <c r="J27" i="25"/>
  <c r="J28" i="25"/>
  <c r="M26" i="26"/>
  <c r="Q26" i="26" s="1"/>
  <c r="J13" i="25"/>
  <c r="G15" i="25"/>
  <c r="Q15" i="25"/>
  <c r="R16" i="25" s="1"/>
  <c r="G19" i="25"/>
  <c r="G21" i="25"/>
  <c r="G25" i="25"/>
  <c r="G27" i="25"/>
  <c r="F30" i="25"/>
  <c r="G30" i="25" s="1"/>
  <c r="F31" i="25"/>
  <c r="G31" i="25" s="1"/>
  <c r="S27" i="26"/>
  <c r="X27" i="26"/>
  <c r="D15" i="23"/>
  <c r="J12" i="25"/>
  <c r="J30" i="25" s="1"/>
  <c r="Q13" i="25"/>
  <c r="Q31" i="25" s="1"/>
  <c r="M14" i="26"/>
  <c r="J23" i="26"/>
  <c r="I19" i="24"/>
  <c r="R30" i="26"/>
  <c r="M30" i="26"/>
  <c r="Q30" i="26" s="1"/>
  <c r="X24" i="26"/>
  <c r="W30" i="26"/>
  <c r="H30" i="26"/>
  <c r="J30" i="26"/>
  <c r="F16" i="23"/>
  <c r="D14" i="23"/>
  <c r="D12" i="23"/>
  <c r="R14" i="26"/>
  <c r="S15" i="26" s="1"/>
  <c r="H11" i="23"/>
  <c r="M11" i="26"/>
  <c r="Q11" i="26" s="1"/>
  <c r="S11" i="26" s="1"/>
  <c r="D11" i="23"/>
  <c r="W14" i="26"/>
  <c r="X15" i="26" s="1"/>
  <c r="G16" i="24"/>
  <c r="F19" i="24"/>
  <c r="G19" i="24" s="1"/>
  <c r="E16" i="23"/>
  <c r="M23" i="26"/>
  <c r="Q23" i="26" s="1"/>
  <c r="S23" i="26" s="1"/>
  <c r="G16" i="23"/>
  <c r="H14" i="23"/>
  <c r="R23" i="26"/>
  <c r="S24" i="26" s="1"/>
  <c r="H23" i="26"/>
  <c r="R17" i="26"/>
  <c r="S18" i="26" s="1"/>
  <c r="N29" i="26"/>
  <c r="H17" i="26"/>
  <c r="Q17" i="26"/>
  <c r="S17" i="26" s="1"/>
  <c r="W17" i="26"/>
  <c r="X18" i="26" s="1"/>
  <c r="J17" i="26"/>
  <c r="P29" i="26"/>
  <c r="Q14" i="26"/>
  <c r="S14" i="26" s="1"/>
  <c r="G29" i="26"/>
  <c r="C16" i="23"/>
  <c r="I29" i="26"/>
  <c r="H14" i="26"/>
  <c r="J14" i="26"/>
  <c r="R11" i="26"/>
  <c r="S12" i="26" s="1"/>
  <c r="O29" i="26"/>
  <c r="L29" i="26"/>
  <c r="D10" i="23"/>
  <c r="E16" i="2"/>
  <c r="H11" i="26"/>
  <c r="W11" i="26"/>
  <c r="X12" i="26" s="1"/>
  <c r="J11" i="26"/>
  <c r="Q30" i="25"/>
  <c r="R20" i="26"/>
  <c r="S21" i="26" s="1"/>
  <c r="L16" i="23"/>
  <c r="I16" i="2"/>
  <c r="V11" i="2" s="1"/>
  <c r="M20" i="26"/>
  <c r="K29" i="26"/>
  <c r="H13" i="23"/>
  <c r="D13" i="23"/>
  <c r="P16" i="2"/>
  <c r="H20" i="26"/>
  <c r="Q20" i="26"/>
  <c r="S20" i="26" s="1"/>
  <c r="W20" i="26"/>
  <c r="F29" i="26"/>
  <c r="J20" i="26"/>
  <c r="H10" i="23"/>
  <c r="B16" i="23"/>
  <c r="J31" i="25" l="1"/>
  <c r="R13" i="25"/>
  <c r="M29" i="26"/>
  <c r="Q29" i="26" s="1"/>
  <c r="S29" i="26" s="1"/>
  <c r="D16" i="23"/>
  <c r="V13" i="2"/>
  <c r="V14" i="2"/>
  <c r="V12" i="2"/>
  <c r="K16" i="2"/>
  <c r="J16" i="23" s="1"/>
  <c r="V10" i="2"/>
  <c r="V15" i="2"/>
  <c r="H29" i="26"/>
  <c r="R29" i="26"/>
  <c r="S30" i="26" s="1"/>
  <c r="J29" i="26"/>
  <c r="W29" i="26"/>
  <c r="X30" i="26" s="1"/>
  <c r="X21" i="26"/>
  <c r="H16" i="23"/>
  <c r="V16" i="2" l="1"/>
  <c r="T11" i="23"/>
  <c r="T14" i="23"/>
  <c r="T15" i="23"/>
  <c r="T12" i="23"/>
  <c r="T13" i="23"/>
  <c r="T10" i="23"/>
  <c r="T16" i="23" l="1"/>
</calcChain>
</file>

<file path=xl/sharedStrings.xml><?xml version="1.0" encoding="utf-8"?>
<sst xmlns="http://schemas.openxmlformats.org/spreadsheetml/2006/main" count="226" uniqueCount="138">
  <si>
    <t>CONSEJO SALVADOREÑO DE LA AGROINDUSTRIA AZUCARERA</t>
  </si>
  <si>
    <t>CONSAA</t>
  </si>
  <si>
    <t>CRUDA</t>
  </si>
  <si>
    <t>BLANCA</t>
  </si>
  <si>
    <t>TOTAL</t>
  </si>
  <si>
    <t>EL ANGEL</t>
  </si>
  <si>
    <t>CHAPARRASTIQUE</t>
  </si>
  <si>
    <t xml:space="preserve"> </t>
  </si>
  <si>
    <t>LA CABAÑA</t>
  </si>
  <si>
    <t>LA MAGDALENA</t>
  </si>
  <si>
    <t>INJIBOA</t>
  </si>
  <si>
    <t>Fuente: Elaboración propia con base en informes de fábrica de los ingenios</t>
  </si>
  <si>
    <t>CAÑA QUEMADA NO PROGRAMADA (T.C.)</t>
  </si>
  <si>
    <t>TOTAL CAÑA MOLIDA (T.C.)</t>
  </si>
  <si>
    <t>RDTO.FISICO MEDIO (LBS/T.C.)</t>
  </si>
  <si>
    <t>RDTO. FISICO ANT. (LBS/T.C.)</t>
  </si>
  <si>
    <t>MELAZA RDTO. FISICO MEDIO (GLS/T.C.)</t>
  </si>
  <si>
    <t>FECHA INICIO ZAFRA</t>
  </si>
  <si>
    <t>DIAS DE ZAFRA</t>
  </si>
  <si>
    <t>% DE PART.</t>
  </si>
  <si>
    <t>CENTRAL AZUCARERA O INGENIO</t>
  </si>
  <si>
    <t>IZALCO</t>
  </si>
  <si>
    <t xml:space="preserve">CONSEJO SALVADOREÑO DE LA AGROINDUSTRIA AZUCARERA </t>
  </si>
  <si>
    <t>AREA SEMBRADA COSECHADA (MZ)</t>
  </si>
  <si>
    <t xml:space="preserve">MELAZA EN PROCESO (GLS) </t>
  </si>
  <si>
    <t>AZUCAR EN PROCESO (QQ)</t>
  </si>
  <si>
    <t>PRODUCCION DE AZUCAR   (QQ)</t>
  </si>
  <si>
    <t>PRODUCCION DE MELAZA (GLS)</t>
  </si>
  <si>
    <t xml:space="preserve">TIEMPO PERDIDO </t>
  </si>
  <si>
    <t>%</t>
  </si>
  <si>
    <t>HH:MM</t>
  </si>
  <si>
    <t>REND. FISICO      TC/MZ</t>
  </si>
  <si>
    <t>TOTAL CAÑA MOLIDA (T.M.)</t>
  </si>
  <si>
    <t>AREA SEMBRADA COSECHADA (Ha)</t>
  </si>
  <si>
    <t>REND. FISICO      TM/Ha</t>
  </si>
  <si>
    <t>CAÑA QUEMADA NO PROGRAMADA (T.M.)</t>
  </si>
  <si>
    <t>PRODUCCION DE AZUCAR   (TM)</t>
  </si>
  <si>
    <t>AZUCAR EN PROCESO (TM)</t>
  </si>
  <si>
    <t>RDTO.FISICO MEDIO (KG/TM)</t>
  </si>
  <si>
    <t>RDTO. FISICO ANT. (KG/TM)</t>
  </si>
  <si>
    <t>PRODUCCION DE MELAZA (TM)</t>
  </si>
  <si>
    <t xml:space="preserve">MELAZA EN PROCESO (TM) </t>
  </si>
  <si>
    <t>MELAZA RDTO. FISICO MEDIO (KG/TM)</t>
  </si>
  <si>
    <t xml:space="preserve">CONSAA </t>
  </si>
  <si>
    <t>CAÑA QUEMADA NO PROGRAMADA (TC)</t>
  </si>
  <si>
    <t xml:space="preserve">DELINCUENCIAL </t>
  </si>
  <si>
    <t xml:space="preserve">ACCIDENTAL </t>
  </si>
  <si>
    <t xml:space="preserve">DELINCUENCIAL CON DENUNCIA </t>
  </si>
  <si>
    <t>RDTO. FISICO ANT.     (LBS/T.C.)</t>
  </si>
  <si>
    <t>C O N S A A</t>
  </si>
  <si>
    <t xml:space="preserve">                      COMPARATIVO DE PRODUCCION SEMANAL </t>
  </si>
  <si>
    <t>Ingenio</t>
  </si>
  <si>
    <t>Zafra</t>
  </si>
  <si>
    <t xml:space="preserve">Fecha Inicio Zafra  </t>
  </si>
  <si>
    <t>Caña Molida    (T.C)</t>
  </si>
  <si>
    <t>Caña Quemada no Programada (T.C.)</t>
  </si>
  <si>
    <t>% Caña quemada / Producción</t>
  </si>
  <si>
    <t>Producción de Azúcar (QQ)</t>
  </si>
  <si>
    <t>Producción  de Melaza            (Gls)</t>
  </si>
  <si>
    <t>Melaza en Proceso (Gls)</t>
  </si>
  <si>
    <t xml:space="preserve">% Tiempo perdido </t>
  </si>
  <si>
    <t>Días</t>
  </si>
  <si>
    <t>Molida Promedio Efectiva por día  (T.C.)</t>
  </si>
  <si>
    <t>Crudo</t>
  </si>
  <si>
    <t>Blanco</t>
  </si>
  <si>
    <t>Total</t>
  </si>
  <si>
    <t xml:space="preserve"> En Proceso</t>
  </si>
  <si>
    <t>Molidos</t>
  </si>
  <si>
    <t>Efectivos</t>
  </si>
  <si>
    <t>Diferencia</t>
  </si>
  <si>
    <t>Izalco</t>
  </si>
  <si>
    <t>El Angel</t>
  </si>
  <si>
    <t>Chaparrastique</t>
  </si>
  <si>
    <t>La Cabaña</t>
  </si>
  <si>
    <t>Injiboa</t>
  </si>
  <si>
    <t>La Magdalena</t>
  </si>
  <si>
    <t>Comparativo Acumulado de Producción</t>
  </si>
  <si>
    <t xml:space="preserve">Inicio de zafra </t>
  </si>
  <si>
    <t>Fecha</t>
  </si>
  <si>
    <t>Caña Molida (T.C.)</t>
  </si>
  <si>
    <t>Caña Quemada no Programada  (T.C.)</t>
  </si>
  <si>
    <t xml:space="preserve">% Caña Quemada / Producción </t>
  </si>
  <si>
    <t>Area sembrada cosechada (MZ)</t>
  </si>
  <si>
    <t>Rendto fisico (TC/MZ)</t>
  </si>
  <si>
    <t xml:space="preserve">Producción de Melaza             (Gls) </t>
  </si>
  <si>
    <t xml:space="preserve">Melaza en proceso (Gls) </t>
  </si>
  <si>
    <t xml:space="preserve">Rendimientos </t>
  </si>
  <si>
    <t xml:space="preserve">% tiempo perdido </t>
  </si>
  <si>
    <t xml:space="preserve">Molida promedio por día (T.C.)  </t>
  </si>
  <si>
    <t>zafra</t>
  </si>
  <si>
    <t>En Proceso</t>
  </si>
  <si>
    <t>Gls.</t>
  </si>
  <si>
    <t>Lbs/TC</t>
  </si>
  <si>
    <t>Gls/TC</t>
  </si>
  <si>
    <t>perdido</t>
  </si>
  <si>
    <t xml:space="preserve">                            </t>
  </si>
  <si>
    <t>(zafra 15/16)</t>
  </si>
  <si>
    <t>15/16</t>
  </si>
  <si>
    <t xml:space="preserve">CAÑA QUEMADA NO PROGRAMADA Y               CAÑA COSECHADA EN VERDE  </t>
  </si>
  <si>
    <t xml:space="preserve">TOTAL CAÑA QUEMADA </t>
  </si>
  <si>
    <t xml:space="preserve">CAÑA COSECHADA                   EN VERDE </t>
  </si>
  <si>
    <t>T.C.</t>
  </si>
  <si>
    <t>T.M.</t>
  </si>
  <si>
    <t xml:space="preserve">         ZAFRA 2016-2017</t>
  </si>
  <si>
    <t>ZAFRA 2016-2017</t>
  </si>
  <si>
    <t>(zafra 16/17)</t>
  </si>
  <si>
    <t xml:space="preserve">                         Zafras 2016/2017  vrs. 2015/2016</t>
  </si>
  <si>
    <t>16/17</t>
  </si>
  <si>
    <t xml:space="preserve">   Zafras 2016/2017  vrs. 2015/2016</t>
  </si>
  <si>
    <t>11/11/2016</t>
  </si>
  <si>
    <t>16/11/2016</t>
  </si>
  <si>
    <t>18/11/2016</t>
  </si>
  <si>
    <t>08/11/2016</t>
  </si>
  <si>
    <t>23/11/2016</t>
  </si>
  <si>
    <t>06/12/2016</t>
  </si>
  <si>
    <t xml:space="preserve">FECHA FIN ZAFRA </t>
  </si>
  <si>
    <t>87:20</t>
  </si>
  <si>
    <t>16/03/2017</t>
  </si>
  <si>
    <t>Semana No. 19 (Zafra 16/17)</t>
  </si>
  <si>
    <t>Semana del 19 al 27 de marzo de marzo 2017</t>
  </si>
  <si>
    <t xml:space="preserve">Semana del 20 al 28 de marzo de marzo 2016  </t>
  </si>
  <si>
    <t>223:10</t>
  </si>
  <si>
    <t>31/03/2017</t>
  </si>
  <si>
    <t>383:45</t>
  </si>
  <si>
    <t>13/04/2017</t>
  </si>
  <si>
    <t>296:20</t>
  </si>
  <si>
    <t>15/04/2016</t>
  </si>
  <si>
    <t xml:space="preserve">SEMANA 23: </t>
  </si>
  <si>
    <t>283:28</t>
  </si>
  <si>
    <t>17/04/2017</t>
  </si>
  <si>
    <t xml:space="preserve">                 INFORME FINAL DE PRODUCCION</t>
  </si>
  <si>
    <t>Semana No.23  (zafra 16/17)</t>
  </si>
  <si>
    <t>147:05</t>
  </si>
  <si>
    <t>AL: 25 DE ABRIL 2017</t>
  </si>
  <si>
    <t>SEMANA 23:</t>
  </si>
  <si>
    <t xml:space="preserve">AL: 25 DE ABRIL 2017 </t>
  </si>
  <si>
    <t xml:space="preserve">Al 25 de abril 2017 y al 24 de abril 2016 </t>
  </si>
  <si>
    <t>25/04/2017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</si>
</sst>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.00_-;\-* #,##0.00_-;_-* &quot;-&quot;??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" fillId="0" borderId="0"/>
  </cellStyleXfs>
  <cellXfs count="304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7" fillId="0" borderId="0" xfId="0" applyNumberFormat="1" applyFont="1"/>
    <xf numFmtId="0" fontId="7" fillId="0" borderId="0" xfId="0" applyFont="1" applyBorder="1"/>
    <xf numFmtId="4" fontId="8" fillId="0" borderId="0" xfId="0" applyNumberFormat="1" applyFont="1" applyFill="1" applyBorder="1"/>
    <xf numFmtId="0" fontId="7" fillId="0" borderId="0" xfId="0" applyFont="1" applyFill="1"/>
    <xf numFmtId="4" fontId="8" fillId="0" borderId="0" xfId="0" applyNumberFormat="1" applyFont="1" applyBorder="1"/>
    <xf numFmtId="4" fontId="7" fillId="0" borderId="0" xfId="0" applyNumberFormat="1" applyFont="1" applyBorder="1"/>
    <xf numFmtId="4" fontId="8" fillId="0" borderId="0" xfId="0" applyNumberFormat="1" applyFont="1" applyBorder="1" applyAlignment="1">
      <alignment horizontal="center"/>
    </xf>
    <xf numFmtId="3" fontId="8" fillId="0" borderId="0" xfId="0" applyNumberFormat="1" applyFont="1" applyBorder="1"/>
    <xf numFmtId="0" fontId="12" fillId="0" borderId="0" xfId="0" applyFont="1" applyAlignment="1">
      <alignment vertical="center" wrapText="1"/>
    </xf>
    <xf numFmtId="0" fontId="12" fillId="0" borderId="0" xfId="0" applyFont="1"/>
    <xf numFmtId="0" fontId="9" fillId="0" borderId="1" xfId="0" applyFont="1" applyBorder="1"/>
    <xf numFmtId="4" fontId="9" fillId="0" borderId="1" xfId="0" applyNumberFormat="1" applyFont="1" applyBorder="1"/>
    <xf numFmtId="4" fontId="9" fillId="0" borderId="1" xfId="0" applyNumberFormat="1" applyFont="1" applyFill="1" applyBorder="1"/>
    <xf numFmtId="4" fontId="9" fillId="0" borderId="1" xfId="0" applyNumberFormat="1" applyFont="1" applyBorder="1" applyAlignment="1">
      <alignment horizontal="center"/>
    </xf>
    <xf numFmtId="4" fontId="9" fillId="0" borderId="1" xfId="0" applyNumberFormat="1" applyFont="1" applyFill="1" applyBorder="1" applyAlignment="1">
      <alignment horizontal="center"/>
    </xf>
    <xf numFmtId="4" fontId="9" fillId="0" borderId="1" xfId="0" quotePrefix="1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/>
    <xf numFmtId="3" fontId="9" fillId="0" borderId="1" xfId="0" quotePrefix="1" applyNumberFormat="1" applyFont="1" applyBorder="1" applyAlignment="1">
      <alignment horizontal="center"/>
    </xf>
    <xf numFmtId="0" fontId="9" fillId="0" borderId="1" xfId="0" applyFont="1" applyFill="1" applyBorder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9" fillId="0" borderId="0" xfId="0" applyFont="1" applyFill="1" applyBorder="1"/>
    <xf numFmtId="4" fontId="12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3" fontId="12" fillId="0" borderId="0" xfId="0" applyNumberFormat="1" applyFont="1"/>
    <xf numFmtId="0" fontId="9" fillId="0" borderId="1" xfId="0" applyFont="1" applyBorder="1" applyAlignment="1">
      <alignment horizontal="center" vertical="center" wrapText="1"/>
    </xf>
    <xf numFmtId="165" fontId="7" fillId="0" borderId="0" xfId="1" applyFont="1"/>
    <xf numFmtId="0" fontId="13" fillId="0" borderId="0" xfId="0" applyFont="1"/>
    <xf numFmtId="0" fontId="14" fillId="0" borderId="0" xfId="0" applyFont="1"/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" fontId="9" fillId="0" borderId="1" xfId="0" quotePrefix="1" applyNumberFormat="1" applyFont="1" applyFill="1" applyBorder="1" applyAlignment="1">
      <alignment horizontal="center"/>
    </xf>
    <xf numFmtId="3" fontId="9" fillId="0" borderId="1" xfId="0" quotePrefix="1" applyNumberFormat="1" applyFont="1" applyFill="1" applyBorder="1" applyAlignment="1">
      <alignment horizontal="center"/>
    </xf>
    <xf numFmtId="2" fontId="9" fillId="0" borderId="1" xfId="0" applyNumberFormat="1" applyFont="1" applyFill="1" applyBorder="1"/>
    <xf numFmtId="4" fontId="9" fillId="0" borderId="1" xfId="0" applyNumberFormat="1" applyFont="1" applyFill="1" applyBorder="1" applyAlignment="1">
      <alignment horizontal="right"/>
    </xf>
    <xf numFmtId="0" fontId="15" fillId="0" borderId="0" xfId="0" applyFont="1"/>
    <xf numFmtId="4" fontId="9" fillId="0" borderId="1" xfId="0" applyNumberFormat="1" applyFont="1" applyBorder="1" applyAlignment="1">
      <alignment horizontal="right"/>
    </xf>
    <xf numFmtId="4" fontId="7" fillId="0" borderId="0" xfId="0" applyNumberFormat="1" applyFont="1"/>
    <xf numFmtId="165" fontId="7" fillId="0" borderId="0" xfId="6" applyFont="1"/>
    <xf numFmtId="0" fontId="12" fillId="0" borderId="0" xfId="0" applyFont="1" applyFill="1"/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3" fillId="0" borderId="0" xfId="7" applyFont="1"/>
    <xf numFmtId="0" fontId="13" fillId="0" borderId="0" xfId="7" applyFont="1" applyBorder="1"/>
    <xf numFmtId="0" fontId="17" fillId="0" borderId="0" xfId="7" applyFont="1"/>
    <xf numFmtId="0" fontId="13" fillId="0" borderId="0" xfId="7" applyFont="1" applyBorder="1" applyAlignment="1">
      <alignment horizontal="center"/>
    </xf>
    <xf numFmtId="0" fontId="12" fillId="0" borderId="0" xfId="7" applyFont="1"/>
    <xf numFmtId="0" fontId="16" fillId="0" borderId="0" xfId="7" applyFont="1" applyFill="1" applyAlignment="1">
      <alignment vertical="center" wrapText="1"/>
    </xf>
    <xf numFmtId="0" fontId="16" fillId="0" borderId="0" xfId="7" applyFont="1" applyFill="1" applyBorder="1" applyAlignment="1">
      <alignment vertical="center" wrapText="1"/>
    </xf>
    <xf numFmtId="4" fontId="16" fillId="0" borderId="0" xfId="7" applyNumberFormat="1" applyFont="1" applyFill="1" applyBorder="1" applyAlignment="1">
      <alignment vertical="center" wrapText="1"/>
    </xf>
    <xf numFmtId="3" fontId="16" fillId="0" borderId="0" xfId="7" applyNumberFormat="1" applyFont="1" applyFill="1" applyBorder="1" applyAlignment="1">
      <alignment vertical="center" wrapText="1"/>
    </xf>
    <xf numFmtId="0" fontId="16" fillId="0" borderId="0" xfId="7" applyFont="1" applyFill="1"/>
    <xf numFmtId="0" fontId="16" fillId="0" borderId="0" xfId="7" applyFont="1" applyFill="1" applyBorder="1"/>
    <xf numFmtId="4" fontId="16" fillId="0" borderId="0" xfId="7" applyNumberFormat="1" applyFont="1" applyFill="1" applyBorder="1"/>
    <xf numFmtId="3" fontId="16" fillId="0" borderId="0" xfId="7" applyNumberFormat="1" applyFont="1" applyFill="1" applyBorder="1"/>
    <xf numFmtId="16" fontId="13" fillId="0" borderId="16" xfId="7" quotePrefix="1" applyNumberFormat="1" applyFont="1" applyBorder="1" applyAlignment="1">
      <alignment horizontal="center"/>
    </xf>
    <xf numFmtId="14" fontId="13" fillId="0" borderId="4" xfId="7" quotePrefix="1" applyNumberFormat="1" applyFont="1" applyBorder="1" applyAlignment="1">
      <alignment horizontal="center"/>
    </xf>
    <xf numFmtId="4" fontId="13" fillId="0" borderId="0" xfId="7" applyNumberFormat="1" applyFont="1" applyFill="1" applyBorder="1"/>
    <xf numFmtId="0" fontId="13" fillId="0" borderId="0" xfId="7" applyFont="1" applyFill="1"/>
    <xf numFmtId="3" fontId="13" fillId="0" borderId="0" xfId="7" applyNumberFormat="1" applyFont="1" applyFill="1" applyBorder="1"/>
    <xf numFmtId="4" fontId="13" fillId="0" borderId="0" xfId="7" applyNumberFormat="1" applyFont="1" applyBorder="1"/>
    <xf numFmtId="0" fontId="13" fillId="0" borderId="16" xfId="7" quotePrefix="1" applyFont="1" applyBorder="1" applyAlignment="1">
      <alignment horizontal="center"/>
    </xf>
    <xf numFmtId="14" fontId="13" fillId="0" borderId="16" xfId="7" quotePrefix="1" applyNumberFormat="1" applyFont="1" applyBorder="1" applyAlignment="1">
      <alignment horizontal="center"/>
    </xf>
    <xf numFmtId="0" fontId="13" fillId="0" borderId="5" xfId="7" applyFont="1" applyBorder="1"/>
    <xf numFmtId="0" fontId="13" fillId="0" borderId="5" xfId="7" applyFont="1" applyBorder="1" applyAlignment="1">
      <alignment horizontal="center"/>
    </xf>
    <xf numFmtId="16" fontId="16" fillId="0" borderId="4" xfId="7" quotePrefix="1" applyNumberFormat="1" applyFont="1" applyBorder="1" applyAlignment="1">
      <alignment horizontal="center"/>
    </xf>
    <xf numFmtId="0" fontId="16" fillId="0" borderId="5" xfId="7" quotePrefix="1" applyFont="1" applyBorder="1" applyAlignment="1">
      <alignment horizontal="center"/>
    </xf>
    <xf numFmtId="0" fontId="17" fillId="0" borderId="0" xfId="7" applyFont="1" applyFill="1" applyBorder="1"/>
    <xf numFmtId="0" fontId="17" fillId="0" borderId="0" xfId="7" applyFont="1" applyBorder="1"/>
    <xf numFmtId="0" fontId="17" fillId="0" borderId="0" xfId="7" applyFont="1" applyFill="1" applyAlignment="1">
      <alignment vertical="center" wrapText="1"/>
    </xf>
    <xf numFmtId="0" fontId="17" fillId="0" borderId="25" xfId="7" applyFont="1" applyFill="1" applyBorder="1" applyAlignment="1">
      <alignment horizontal="center" vertical="center" wrapText="1"/>
    </xf>
    <xf numFmtId="0" fontId="17" fillId="0" borderId="0" xfId="7" applyFont="1" applyFill="1" applyBorder="1" applyAlignment="1">
      <alignment vertical="center" wrapText="1"/>
    </xf>
    <xf numFmtId="0" fontId="17" fillId="0" borderId="0" xfId="7" applyFont="1" applyFill="1"/>
    <xf numFmtId="0" fontId="17" fillId="0" borderId="33" xfId="7" applyFont="1" applyFill="1" applyBorder="1" applyAlignment="1">
      <alignment horizontal="center"/>
    </xf>
    <xf numFmtId="0" fontId="17" fillId="0" borderId="34" xfId="7" applyFont="1" applyFill="1" applyBorder="1" applyAlignment="1">
      <alignment horizontal="center"/>
    </xf>
    <xf numFmtId="0" fontId="17" fillId="0" borderId="15" xfId="7" applyFont="1" applyFill="1" applyBorder="1" applyAlignment="1">
      <alignment horizontal="center"/>
    </xf>
    <xf numFmtId="0" fontId="17" fillId="0" borderId="32" xfId="7" applyFont="1" applyFill="1" applyBorder="1" applyAlignment="1">
      <alignment horizontal="center"/>
    </xf>
    <xf numFmtId="0" fontId="17" fillId="0" borderId="35" xfId="7" applyFont="1" applyFill="1" applyBorder="1" applyAlignment="1">
      <alignment horizontal="center"/>
    </xf>
    <xf numFmtId="0" fontId="17" fillId="0" borderId="16" xfId="7" applyFont="1" applyBorder="1"/>
    <xf numFmtId="14" fontId="17" fillId="0" borderId="16" xfId="7" quotePrefix="1" applyNumberFormat="1" applyFont="1" applyBorder="1" applyAlignment="1">
      <alignment horizontal="center"/>
    </xf>
    <xf numFmtId="4" fontId="17" fillId="0" borderId="16" xfId="7" applyNumberFormat="1" applyFont="1" applyBorder="1"/>
    <xf numFmtId="4" fontId="17" fillId="0" borderId="17" xfId="7" applyNumberFormat="1" applyFont="1" applyBorder="1"/>
    <xf numFmtId="4" fontId="17" fillId="0" borderId="19" xfId="7" applyNumberFormat="1" applyFont="1" applyBorder="1"/>
    <xf numFmtId="3" fontId="17" fillId="0" borderId="17" xfId="7" applyNumberFormat="1" applyFont="1" applyBorder="1"/>
    <xf numFmtId="4" fontId="17" fillId="0" borderId="18" xfId="7" applyNumberFormat="1" applyFont="1" applyBorder="1"/>
    <xf numFmtId="0" fontId="17" fillId="0" borderId="17" xfId="7" applyFont="1" applyBorder="1"/>
    <xf numFmtId="0" fontId="17" fillId="0" borderId="16" xfId="7" quotePrefix="1" applyFont="1" applyBorder="1" applyAlignment="1">
      <alignment horizontal="center"/>
    </xf>
    <xf numFmtId="0" fontId="17" fillId="0" borderId="5" xfId="7" applyFont="1" applyBorder="1"/>
    <xf numFmtId="0" fontId="17" fillId="0" borderId="5" xfId="7" applyFont="1" applyBorder="1" applyAlignment="1">
      <alignment horizontal="center"/>
    </xf>
    <xf numFmtId="4" fontId="17" fillId="0" borderId="5" xfId="7" applyNumberFormat="1" applyFont="1" applyBorder="1"/>
    <xf numFmtId="4" fontId="17" fillId="0" borderId="20" xfId="7" applyNumberFormat="1" applyFont="1" applyBorder="1"/>
    <xf numFmtId="4" fontId="17" fillId="0" borderId="21" xfId="7" applyNumberFormat="1" applyFont="1" applyBorder="1"/>
    <xf numFmtId="3" fontId="17" fillId="0" borderId="20" xfId="7" applyNumberFormat="1" applyFont="1" applyBorder="1"/>
    <xf numFmtId="0" fontId="17" fillId="0" borderId="4" xfId="7" applyFont="1" applyBorder="1"/>
    <xf numFmtId="0" fontId="17" fillId="0" borderId="4" xfId="7" quotePrefix="1" applyFont="1" applyBorder="1" applyAlignment="1">
      <alignment horizontal="center"/>
    </xf>
    <xf numFmtId="4" fontId="17" fillId="0" borderId="4" xfId="7" applyNumberFormat="1" applyFont="1" applyBorder="1"/>
    <xf numFmtId="4" fontId="17" fillId="0" borderId="6" xfId="7" applyNumberFormat="1" applyFont="1" applyBorder="1"/>
    <xf numFmtId="4" fontId="17" fillId="0" borderId="7" xfId="7" applyNumberFormat="1" applyFont="1" applyBorder="1"/>
    <xf numFmtId="3" fontId="17" fillId="0" borderId="6" xfId="7" applyNumberFormat="1" applyFont="1" applyBorder="1"/>
    <xf numFmtId="14" fontId="17" fillId="0" borderId="4" xfId="7" applyNumberFormat="1" applyFont="1" applyBorder="1" applyAlignment="1">
      <alignment horizontal="center"/>
    </xf>
    <xf numFmtId="4" fontId="17" fillId="0" borderId="16" xfId="7" applyNumberFormat="1" applyFont="1" applyFill="1" applyBorder="1"/>
    <xf numFmtId="0" fontId="18" fillId="0" borderId="4" xfId="7" applyFont="1" applyBorder="1" applyAlignment="1">
      <alignment horizontal="center"/>
    </xf>
    <xf numFmtId="0" fontId="18" fillId="0" borderId="4" xfId="7" applyFont="1" applyBorder="1"/>
    <xf numFmtId="4" fontId="18" fillId="0" borderId="4" xfId="7" applyNumberFormat="1" applyFont="1" applyBorder="1"/>
    <xf numFmtId="4" fontId="18" fillId="0" borderId="19" xfId="7" applyNumberFormat="1" applyFont="1" applyBorder="1"/>
    <xf numFmtId="3" fontId="18" fillId="0" borderId="4" xfId="7" applyNumberFormat="1" applyFont="1" applyBorder="1"/>
    <xf numFmtId="4" fontId="18" fillId="0" borderId="16" xfId="7" applyNumberFormat="1" applyFont="1" applyBorder="1"/>
    <xf numFmtId="0" fontId="18" fillId="0" borderId="5" xfId="7" applyFont="1" applyBorder="1"/>
    <xf numFmtId="0" fontId="18" fillId="0" borderId="5" xfId="7" applyFont="1" applyBorder="1" applyAlignment="1">
      <alignment horizontal="center"/>
    </xf>
    <xf numFmtId="4" fontId="18" fillId="0" borderId="5" xfId="7" applyNumberFormat="1" applyFont="1" applyBorder="1"/>
    <xf numFmtId="4" fontId="18" fillId="0" borderId="21" xfId="7" applyNumberFormat="1" applyFont="1" applyBorder="1"/>
    <xf numFmtId="0" fontId="19" fillId="0" borderId="0" xfId="7" applyFont="1"/>
    <xf numFmtId="0" fontId="13" fillId="0" borderId="0" xfId="7" applyFont="1" applyAlignment="1">
      <alignment horizontal="center"/>
    </xf>
    <xf numFmtId="2" fontId="20" fillId="0" borderId="0" xfId="7" applyNumberFormat="1" applyFont="1" applyAlignment="1">
      <alignment horizontal="right"/>
    </xf>
    <xf numFmtId="165" fontId="13" fillId="0" borderId="0" xfId="3" applyFont="1"/>
    <xf numFmtId="0" fontId="14" fillId="0" borderId="0" xfId="7" applyFont="1"/>
    <xf numFmtId="0" fontId="14" fillId="0" borderId="0" xfId="7" applyFont="1" applyBorder="1"/>
    <xf numFmtId="0" fontId="22" fillId="0" borderId="0" xfId="7" applyFont="1"/>
    <xf numFmtId="0" fontId="23" fillId="0" borderId="0" xfId="7" applyFont="1" applyAlignment="1"/>
    <xf numFmtId="0" fontId="24" fillId="0" borderId="0" xfId="7" applyFont="1"/>
    <xf numFmtId="0" fontId="25" fillId="0" borderId="0" xfId="7" applyFont="1"/>
    <xf numFmtId="0" fontId="22" fillId="0" borderId="0" xfId="7" applyFont="1" applyAlignment="1">
      <alignment horizontal="right"/>
    </xf>
    <xf numFmtId="0" fontId="1" fillId="0" borderId="0" xfId="7" applyFont="1"/>
    <xf numFmtId="0" fontId="22" fillId="0" borderId="0" xfId="7" applyFont="1" applyBorder="1"/>
    <xf numFmtId="0" fontId="24" fillId="0" borderId="0" xfId="7" applyFont="1" applyFill="1" applyBorder="1" applyAlignment="1">
      <alignment vertical="center" wrapText="1"/>
    </xf>
    <xf numFmtId="0" fontId="24" fillId="0" borderId="15" xfId="7" applyFont="1" applyFill="1" applyBorder="1" applyAlignment="1">
      <alignment horizontal="center"/>
    </xf>
    <xf numFmtId="0" fontId="24" fillId="0" borderId="11" xfId="7" applyFont="1" applyFill="1" applyBorder="1" applyAlignment="1">
      <alignment horizontal="center"/>
    </xf>
    <xf numFmtId="0" fontId="24" fillId="0" borderId="13" xfId="7" applyFont="1" applyFill="1" applyBorder="1" applyAlignment="1">
      <alignment horizontal="center"/>
    </xf>
    <xf numFmtId="0" fontId="24" fillId="0" borderId="0" xfId="7" applyFont="1" applyFill="1" applyBorder="1"/>
    <xf numFmtId="0" fontId="24" fillId="0" borderId="4" xfId="7" applyFont="1" applyFill="1" applyBorder="1"/>
    <xf numFmtId="4" fontId="22" fillId="0" borderId="16" xfId="7" applyNumberFormat="1" applyFont="1" applyFill="1" applyBorder="1"/>
    <xf numFmtId="4" fontId="22" fillId="0" borderId="19" xfId="7" applyNumberFormat="1" applyFont="1" applyFill="1" applyBorder="1"/>
    <xf numFmtId="4" fontId="22" fillId="0" borderId="17" xfId="7" applyNumberFormat="1" applyFont="1" applyFill="1" applyBorder="1"/>
    <xf numFmtId="3" fontId="22" fillId="0" borderId="0" xfId="7" applyNumberFormat="1" applyFont="1" applyFill="1" applyBorder="1"/>
    <xf numFmtId="4" fontId="22" fillId="0" borderId="0" xfId="7" applyNumberFormat="1" applyFont="1" applyFill="1" applyBorder="1"/>
    <xf numFmtId="0" fontId="22" fillId="0" borderId="17" xfId="7" applyFont="1" applyFill="1" applyBorder="1"/>
    <xf numFmtId="4" fontId="22" fillId="0" borderId="4" xfId="7" applyNumberFormat="1" applyFont="1" applyFill="1" applyBorder="1"/>
    <xf numFmtId="3" fontId="22" fillId="0" borderId="17" xfId="7" applyNumberFormat="1" applyFont="1" applyFill="1" applyBorder="1"/>
    <xf numFmtId="4" fontId="22" fillId="0" borderId="8" xfId="7" applyNumberFormat="1" applyFont="1" applyFill="1" applyBorder="1"/>
    <xf numFmtId="0" fontId="25" fillId="0" borderId="0" xfId="7" applyFont="1" applyFill="1" applyBorder="1"/>
    <xf numFmtId="0" fontId="25" fillId="0" borderId="0" xfId="7" applyFont="1" applyBorder="1"/>
    <xf numFmtId="0" fontId="25" fillId="0" borderId="0" xfId="7" applyFont="1" applyBorder="1" applyAlignment="1">
      <alignment horizontal="center"/>
    </xf>
    <xf numFmtId="0" fontId="22" fillId="0" borderId="0" xfId="7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Fill="1"/>
    <xf numFmtId="0" fontId="14" fillId="0" borderId="0" xfId="0" applyFont="1" applyFill="1"/>
    <xf numFmtId="0" fontId="7" fillId="0" borderId="0" xfId="0" applyFont="1" applyFill="1" applyAlignment="1">
      <alignment horizontal="left"/>
    </xf>
    <xf numFmtId="0" fontId="12" fillId="0" borderId="0" xfId="0" applyFont="1" applyFill="1" applyAlignment="1">
      <alignment vertical="center" wrapText="1"/>
    </xf>
    <xf numFmtId="16" fontId="22" fillId="0" borderId="17" xfId="7" quotePrefix="1" applyNumberFormat="1" applyFont="1" applyFill="1" applyBorder="1" applyAlignment="1">
      <alignment horizontal="center"/>
    </xf>
    <xf numFmtId="14" fontId="22" fillId="0" borderId="17" xfId="7" quotePrefix="1" applyNumberFormat="1" applyFont="1" applyFill="1" applyBorder="1" applyAlignment="1">
      <alignment vertical="center"/>
    </xf>
    <xf numFmtId="0" fontId="13" fillId="0" borderId="0" xfId="7" applyFont="1" applyFill="1" applyBorder="1"/>
    <xf numFmtId="0" fontId="24" fillId="0" borderId="16" xfId="7" applyFont="1" applyFill="1" applyBorder="1"/>
    <xf numFmtId="0" fontId="24" fillId="0" borderId="5" xfId="7" applyFont="1" applyFill="1" applyBorder="1"/>
    <xf numFmtId="0" fontId="22" fillId="0" borderId="20" xfId="7" applyFont="1" applyFill="1" applyBorder="1"/>
    <xf numFmtId="0" fontId="22" fillId="0" borderId="17" xfId="7" applyFont="1" applyFill="1" applyBorder="1" applyAlignment="1">
      <alignment vertical="center"/>
    </xf>
    <xf numFmtId="4" fontId="22" fillId="0" borderId="5" xfId="7" applyNumberFormat="1" applyFont="1" applyFill="1" applyBorder="1"/>
    <xf numFmtId="4" fontId="22" fillId="0" borderId="20" xfId="7" applyNumberFormat="1" applyFont="1" applyFill="1" applyBorder="1"/>
    <xf numFmtId="3" fontId="22" fillId="0" borderId="22" xfId="7" applyNumberFormat="1" applyFont="1" applyFill="1" applyBorder="1"/>
    <xf numFmtId="4" fontId="22" fillId="0" borderId="21" xfId="7" applyNumberFormat="1" applyFont="1" applyFill="1" applyBorder="1"/>
    <xf numFmtId="14" fontId="22" fillId="0" borderId="6" xfId="7" quotePrefix="1" applyNumberFormat="1" applyFont="1" applyFill="1" applyBorder="1" applyAlignment="1">
      <alignment vertical="center"/>
    </xf>
    <xf numFmtId="4" fontId="22" fillId="0" borderId="6" xfId="7" applyNumberFormat="1" applyFont="1" applyFill="1" applyBorder="1"/>
    <xf numFmtId="0" fontId="22" fillId="0" borderId="17" xfId="7" quotePrefix="1" applyFont="1" applyFill="1" applyBorder="1" applyAlignment="1">
      <alignment horizontal="center"/>
    </xf>
    <xf numFmtId="0" fontId="22" fillId="0" borderId="20" xfId="7" applyFont="1" applyFill="1" applyBorder="1" applyAlignment="1">
      <alignment vertical="center"/>
    </xf>
    <xf numFmtId="4" fontId="22" fillId="0" borderId="22" xfId="7" applyNumberFormat="1" applyFont="1" applyFill="1" applyBorder="1"/>
    <xf numFmtId="14" fontId="22" fillId="0" borderId="17" xfId="7" applyNumberFormat="1" applyFont="1" applyFill="1" applyBorder="1" applyAlignment="1">
      <alignment vertical="center"/>
    </xf>
    <xf numFmtId="3" fontId="22" fillId="0" borderId="4" xfId="7" applyNumberFormat="1" applyFont="1" applyFill="1" applyBorder="1"/>
    <xf numFmtId="3" fontId="22" fillId="0" borderId="16" xfId="7" applyNumberFormat="1" applyFont="1" applyFill="1" applyBorder="1"/>
    <xf numFmtId="3" fontId="22" fillId="0" borderId="5" xfId="7" applyNumberFormat="1" applyFont="1" applyFill="1" applyBorder="1"/>
    <xf numFmtId="14" fontId="22" fillId="0" borderId="6" xfId="7" applyNumberFormat="1" applyFont="1" applyFill="1" applyBorder="1" applyAlignment="1">
      <alignment vertical="center"/>
    </xf>
    <xf numFmtId="3" fontId="22" fillId="0" borderId="20" xfId="7" applyNumberFormat="1" applyFont="1" applyFill="1" applyBorder="1"/>
    <xf numFmtId="4" fontId="22" fillId="0" borderId="7" xfId="7" applyNumberFormat="1" applyFont="1" applyFill="1" applyBorder="1"/>
    <xf numFmtId="0" fontId="22" fillId="0" borderId="0" xfId="7" applyFont="1" applyFill="1" applyBorder="1"/>
    <xf numFmtId="16" fontId="24" fillId="0" borderId="4" xfId="7" quotePrefix="1" applyNumberFormat="1" applyFont="1" applyFill="1" applyBorder="1" applyAlignment="1">
      <alignment horizontal="center"/>
    </xf>
    <xf numFmtId="4" fontId="24" fillId="0" borderId="16" xfId="7" applyNumberFormat="1" applyFont="1" applyFill="1" applyBorder="1"/>
    <xf numFmtId="4" fontId="24" fillId="0" borderId="4" xfId="7" applyNumberFormat="1" applyFont="1" applyFill="1" applyBorder="1"/>
    <xf numFmtId="3" fontId="24" fillId="0" borderId="16" xfId="7" applyNumberFormat="1" applyFont="1" applyFill="1" applyBorder="1"/>
    <xf numFmtId="4" fontId="24" fillId="0" borderId="17" xfId="7" applyNumberFormat="1" applyFont="1" applyFill="1" applyBorder="1"/>
    <xf numFmtId="4" fontId="24" fillId="0" borderId="0" xfId="7" applyNumberFormat="1" applyFont="1" applyFill="1" applyBorder="1"/>
    <xf numFmtId="0" fontId="22" fillId="0" borderId="5" xfId="7" applyFont="1" applyFill="1" applyBorder="1"/>
    <xf numFmtId="0" fontId="24" fillId="0" borderId="5" xfId="7" quotePrefix="1" applyFont="1" applyFill="1" applyBorder="1" applyAlignment="1">
      <alignment horizontal="center"/>
    </xf>
    <xf numFmtId="4" fontId="24" fillId="0" borderId="5" xfId="7" applyNumberFormat="1" applyFont="1" applyFill="1" applyBorder="1"/>
    <xf numFmtId="4" fontId="24" fillId="0" borderId="20" xfId="7" applyNumberFormat="1" applyFont="1" applyFill="1" applyBorder="1"/>
    <xf numFmtId="4" fontId="24" fillId="0" borderId="22" xfId="7" applyNumberFormat="1" applyFont="1" applyFill="1" applyBorder="1"/>
    <xf numFmtId="3" fontId="17" fillId="0" borderId="8" xfId="7" applyNumberFormat="1" applyFont="1" applyBorder="1"/>
    <xf numFmtId="3" fontId="17" fillId="0" borderId="0" xfId="7" applyNumberFormat="1" applyFont="1" applyBorder="1"/>
    <xf numFmtId="3" fontId="17" fillId="0" borderId="22" xfId="7" applyNumberFormat="1" applyFont="1" applyBorder="1"/>
    <xf numFmtId="4" fontId="17" fillId="0" borderId="0" xfId="7" applyNumberFormat="1" applyFont="1" applyBorder="1"/>
    <xf numFmtId="0" fontId="16" fillId="0" borderId="0" xfId="0" applyFont="1"/>
    <xf numFmtId="0" fontId="8" fillId="0" borderId="0" xfId="0" applyFont="1" applyAlignment="1">
      <alignment horizontal="center"/>
    </xf>
    <xf numFmtId="0" fontId="9" fillId="0" borderId="1" xfId="0" applyFont="1" applyFill="1" applyBorder="1" applyAlignment="1">
      <alignment horizontal="left"/>
    </xf>
    <xf numFmtId="0" fontId="8" fillId="0" borderId="0" xfId="0" applyFont="1" applyAlignment="1"/>
    <xf numFmtId="0" fontId="9" fillId="0" borderId="3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right"/>
    </xf>
    <xf numFmtId="4" fontId="9" fillId="0" borderId="43" xfId="0" applyNumberFormat="1" applyFont="1" applyBorder="1"/>
    <xf numFmtId="4" fontId="9" fillId="0" borderId="44" xfId="0" applyNumberFormat="1" applyFont="1" applyFill="1" applyBorder="1"/>
    <xf numFmtId="165" fontId="16" fillId="0" borderId="43" xfId="1" applyFont="1" applyBorder="1"/>
    <xf numFmtId="165" fontId="16" fillId="0" borderId="35" xfId="1" applyFont="1" applyFill="1" applyBorder="1"/>
    <xf numFmtId="4" fontId="9" fillId="2" borderId="5" xfId="0" applyNumberFormat="1" applyFont="1" applyFill="1" applyBorder="1"/>
    <xf numFmtId="0" fontId="13" fillId="2" borderId="0" xfId="0" applyFont="1" applyFill="1"/>
    <xf numFmtId="0" fontId="9" fillId="2" borderId="40" xfId="0" applyFont="1" applyFill="1" applyBorder="1"/>
    <xf numFmtId="4" fontId="9" fillId="2" borderId="1" xfId="0" applyNumberFormat="1" applyFont="1" applyFill="1" applyBorder="1"/>
    <xf numFmtId="165" fontId="16" fillId="2" borderId="1" xfId="1" applyFont="1" applyFill="1" applyBorder="1"/>
    <xf numFmtId="165" fontId="16" fillId="2" borderId="41" xfId="1" applyFont="1" applyFill="1" applyBorder="1"/>
    <xf numFmtId="165" fontId="16" fillId="2" borderId="5" xfId="1" applyFont="1" applyFill="1" applyBorder="1"/>
    <xf numFmtId="0" fontId="26" fillId="0" borderId="0" xfId="0" applyFont="1" applyFill="1"/>
    <xf numFmtId="0" fontId="11" fillId="0" borderId="0" xfId="0" applyFont="1" applyFill="1" applyAlignment="1">
      <alignment horizontal="center"/>
    </xf>
    <xf numFmtId="0" fontId="15" fillId="0" borderId="0" xfId="0" applyFont="1" applyFill="1"/>
    <xf numFmtId="0" fontId="8" fillId="0" borderId="0" xfId="0" applyFont="1" applyFill="1"/>
    <xf numFmtId="0" fontId="27" fillId="0" borderId="1" xfId="0" applyFont="1" applyFill="1" applyBorder="1"/>
    <xf numFmtId="4" fontId="27" fillId="0" borderId="1" xfId="0" applyNumberFormat="1" applyFont="1" applyFill="1" applyBorder="1" applyAlignment="1">
      <alignment horizontal="right"/>
    </xf>
    <xf numFmtId="4" fontId="27" fillId="0" borderId="1" xfId="0" applyNumberFormat="1" applyFont="1" applyFill="1" applyBorder="1"/>
    <xf numFmtId="4" fontId="27" fillId="0" borderId="1" xfId="0" applyNumberFormat="1" applyFont="1" applyFill="1" applyBorder="1" applyAlignment="1">
      <alignment horizontal="center"/>
    </xf>
    <xf numFmtId="4" fontId="27" fillId="0" borderId="1" xfId="0" quotePrefix="1" applyNumberFormat="1" applyFont="1" applyFill="1" applyBorder="1" applyAlignment="1">
      <alignment horizontal="center"/>
    </xf>
    <xf numFmtId="3" fontId="27" fillId="0" borderId="1" xfId="0" applyNumberFormat="1" applyFont="1" applyFill="1" applyBorder="1" applyAlignment="1">
      <alignment horizontal="center"/>
    </xf>
    <xf numFmtId="2" fontId="27" fillId="0" borderId="1" xfId="0" applyNumberFormat="1" applyFont="1" applyFill="1" applyBorder="1"/>
    <xf numFmtId="0" fontId="27" fillId="0" borderId="38" xfId="0" applyFont="1" applyFill="1" applyBorder="1"/>
    <xf numFmtId="4" fontId="27" fillId="0" borderId="5" xfId="0" applyNumberFormat="1" applyFont="1" applyFill="1" applyBorder="1" applyAlignment="1">
      <alignment horizontal="right"/>
    </xf>
    <xf numFmtId="4" fontId="27" fillId="0" borderId="5" xfId="0" applyNumberFormat="1" applyFont="1" applyFill="1" applyBorder="1"/>
    <xf numFmtId="165" fontId="24" fillId="0" borderId="0" xfId="1" applyFont="1" applyFill="1"/>
    <xf numFmtId="165" fontId="24" fillId="0" borderId="39" xfId="1" applyFont="1" applyFill="1" applyBorder="1"/>
    <xf numFmtId="0" fontId="22" fillId="2" borderId="0" xfId="7" applyFont="1" applyFill="1"/>
    <xf numFmtId="4" fontId="22" fillId="2" borderId="17" xfId="7" applyNumberFormat="1" applyFont="1" applyFill="1" applyBorder="1"/>
    <xf numFmtId="4" fontId="22" fillId="2" borderId="4" xfId="7" applyNumberFormat="1" applyFont="1" applyFill="1" applyBorder="1"/>
    <xf numFmtId="4" fontId="22" fillId="2" borderId="16" xfId="7" applyNumberFormat="1" applyFont="1" applyFill="1" applyBorder="1"/>
    <xf numFmtId="4" fontId="22" fillId="2" borderId="5" xfId="7" applyNumberFormat="1" applyFont="1" applyFill="1" applyBorder="1"/>
    <xf numFmtId="4" fontId="22" fillId="2" borderId="0" xfId="7" applyNumberFormat="1" applyFont="1" applyFill="1" applyBorder="1"/>
    <xf numFmtId="4" fontId="22" fillId="2" borderId="22" xfId="7" applyNumberFormat="1" applyFont="1" applyFill="1" applyBorder="1"/>
    <xf numFmtId="4" fontId="24" fillId="2" borderId="16" xfId="7" applyNumberFormat="1" applyFont="1" applyFill="1" applyBorder="1"/>
    <xf numFmtId="4" fontId="24" fillId="2" borderId="5" xfId="7" applyNumberFormat="1" applyFont="1" applyFill="1" applyBorder="1"/>
    <xf numFmtId="0" fontId="25" fillId="2" borderId="0" xfId="7" applyFont="1" applyFill="1"/>
    <xf numFmtId="0" fontId="25" fillId="2" borderId="0" xfId="7" applyFont="1" applyFill="1" applyBorder="1"/>
    <xf numFmtId="0" fontId="17" fillId="2" borderId="0" xfId="7" applyFont="1" applyFill="1"/>
    <xf numFmtId="0" fontId="13" fillId="2" borderId="0" xfId="7" applyFont="1" applyFill="1"/>
    <xf numFmtId="4" fontId="13" fillId="2" borderId="0" xfId="7" applyNumberFormat="1" applyFont="1" applyFill="1" applyBorder="1"/>
    <xf numFmtId="0" fontId="13" fillId="2" borderId="0" xfId="7" applyFont="1" applyFill="1" applyBorder="1"/>
    <xf numFmtId="0" fontId="9" fillId="0" borderId="40" xfId="0" applyFont="1" applyFill="1" applyBorder="1" applyAlignment="1">
      <alignment horizontal="left"/>
    </xf>
    <xf numFmtId="165" fontId="16" fillId="0" borderId="1" xfId="1" applyFont="1" applyFill="1" applyBorder="1"/>
    <xf numFmtId="165" fontId="16" fillId="0" borderId="39" xfId="1" applyFont="1" applyFill="1" applyBorder="1"/>
    <xf numFmtId="0" fontId="13" fillId="0" borderId="0" xfId="0" applyFont="1" applyFill="1"/>
    <xf numFmtId="164" fontId="13" fillId="0" borderId="0" xfId="0" applyNumberFormat="1" applyFont="1"/>
    <xf numFmtId="0" fontId="8" fillId="0" borderId="0" xfId="0" applyFont="1" applyBorder="1"/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24" fillId="0" borderId="11" xfId="7" applyFont="1" applyFill="1" applyBorder="1" applyAlignment="1">
      <alignment horizontal="center" vertical="center" wrapText="1"/>
    </xf>
    <xf numFmtId="0" fontId="24" fillId="0" borderId="13" xfId="7" applyFont="1" applyFill="1" applyBorder="1" applyAlignment="1">
      <alignment horizontal="center" vertical="center" wrapText="1"/>
    </xf>
    <xf numFmtId="0" fontId="21" fillId="0" borderId="0" xfId="7" applyFont="1" applyAlignment="1">
      <alignment horizontal="center"/>
    </xf>
    <xf numFmtId="0" fontId="23" fillId="0" borderId="0" xfId="7" applyFont="1" applyAlignment="1">
      <alignment horizontal="center"/>
    </xf>
    <xf numFmtId="0" fontId="24" fillId="0" borderId="10" xfId="7" applyFont="1" applyFill="1" applyBorder="1" applyAlignment="1">
      <alignment horizontal="center" vertical="center" wrapText="1"/>
    </xf>
    <xf numFmtId="0" fontId="24" fillId="0" borderId="14" xfId="7" applyFont="1" applyFill="1" applyBorder="1" applyAlignment="1">
      <alignment horizontal="center" vertical="center" wrapText="1"/>
    </xf>
    <xf numFmtId="0" fontId="24" fillId="0" borderId="12" xfId="7" applyFont="1" applyFill="1" applyBorder="1"/>
    <xf numFmtId="0" fontId="24" fillId="2" borderId="10" xfId="7" applyFont="1" applyFill="1" applyBorder="1" applyAlignment="1">
      <alignment horizontal="center" vertical="center" wrapText="1"/>
    </xf>
    <xf numFmtId="0" fontId="24" fillId="2" borderId="14" xfId="7" applyFont="1" applyFill="1" applyBorder="1" applyAlignment="1">
      <alignment horizontal="center" vertical="center" wrapText="1"/>
    </xf>
    <xf numFmtId="0" fontId="17" fillId="0" borderId="10" xfId="7" applyFont="1" applyFill="1" applyBorder="1" applyAlignment="1">
      <alignment horizontal="center" vertical="center" wrapText="1"/>
    </xf>
    <xf numFmtId="0" fontId="17" fillId="0" borderId="14" xfId="7" applyFont="1" applyFill="1" applyBorder="1" applyAlignment="1">
      <alignment horizontal="center" vertical="center" wrapText="1"/>
    </xf>
    <xf numFmtId="0" fontId="17" fillId="0" borderId="26" xfId="7" applyFont="1" applyFill="1" applyBorder="1" applyAlignment="1">
      <alignment horizontal="center" vertical="center" wrapText="1"/>
    </xf>
    <xf numFmtId="0" fontId="17" fillId="0" borderId="34" xfId="7" applyFont="1" applyFill="1" applyBorder="1" applyAlignment="1">
      <alignment horizontal="center" vertical="center" wrapText="1"/>
    </xf>
    <xf numFmtId="0" fontId="15" fillId="0" borderId="0" xfId="7" applyFont="1" applyAlignment="1">
      <alignment horizontal="center"/>
    </xf>
    <xf numFmtId="0" fontId="8" fillId="0" borderId="0" xfId="7" applyFont="1" applyAlignment="1">
      <alignment horizontal="center"/>
    </xf>
    <xf numFmtId="0" fontId="17" fillId="0" borderId="23" xfId="7" applyFont="1" applyFill="1" applyBorder="1" applyAlignment="1">
      <alignment horizontal="center" vertical="center" wrapText="1"/>
    </xf>
    <xf numFmtId="0" fontId="17" fillId="0" borderId="31" xfId="7" applyFont="1" applyFill="1" applyBorder="1" applyAlignment="1">
      <alignment horizontal="center" vertical="center" wrapText="1"/>
    </xf>
    <xf numFmtId="0" fontId="17" fillId="0" borderId="11" xfId="7" applyFont="1" applyFill="1" applyBorder="1" applyAlignment="1">
      <alignment horizontal="center" vertical="center" wrapText="1"/>
    </xf>
    <xf numFmtId="0" fontId="17" fillId="0" borderId="12" xfId="7" applyFont="1" applyFill="1" applyBorder="1"/>
    <xf numFmtId="0" fontId="17" fillId="0" borderId="27" xfId="7" applyFont="1" applyFill="1" applyBorder="1" applyAlignment="1">
      <alignment horizontal="center" vertical="center" wrapText="1"/>
    </xf>
    <xf numFmtId="0" fontId="17" fillId="0" borderId="28" xfId="7" applyFont="1" applyFill="1" applyBorder="1" applyAlignment="1">
      <alignment horizontal="center" vertical="center" wrapText="1"/>
    </xf>
    <xf numFmtId="0" fontId="17" fillId="0" borderId="29" xfId="7" applyFont="1" applyFill="1" applyBorder="1" applyAlignment="1">
      <alignment horizontal="center" vertical="center" wrapText="1"/>
    </xf>
    <xf numFmtId="0" fontId="17" fillId="0" borderId="30" xfId="7" applyFont="1" applyFill="1" applyBorder="1" applyAlignment="1">
      <alignment horizontal="center" vertical="center" wrapText="1"/>
    </xf>
    <xf numFmtId="0" fontId="17" fillId="0" borderId="13" xfId="7" applyFont="1" applyFill="1" applyBorder="1" applyAlignment="1">
      <alignment horizontal="center" vertical="center" wrapText="1"/>
    </xf>
    <xf numFmtId="0" fontId="17" fillId="0" borderId="24" xfId="7" applyFont="1" applyFill="1" applyBorder="1" applyAlignment="1">
      <alignment horizontal="center" vertical="center" wrapText="1"/>
    </xf>
    <xf numFmtId="0" fontId="17" fillId="0" borderId="32" xfId="7" applyFont="1" applyFill="1" applyBorder="1" applyAlignment="1">
      <alignment horizontal="center" vertical="center" wrapText="1"/>
    </xf>
  </cellXfs>
  <cellStyles count="11">
    <cellStyle name="Millares" xfId="1" builtinId="3"/>
    <cellStyle name="Millares 2" xfId="2"/>
    <cellStyle name="Millares 2 2" xfId="3"/>
    <cellStyle name="Millares 2 3" xfId="4"/>
    <cellStyle name="Millares 3" xfId="5"/>
    <cellStyle name="Millares 4" xfId="6"/>
    <cellStyle name="Normal" xfId="0" builtinId="0"/>
    <cellStyle name="Normal 2" xfId="7"/>
    <cellStyle name="Normal 2 2" xfId="8"/>
    <cellStyle name="Normal 2 3" xfId="9"/>
    <cellStyle name="Normal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AFRA/PRODUCCION/semanal/12-13/INFORME%20semanal%20de%20Produccion%2012-13%20semana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2.12"/>
      <sheetName val="2.12.12 SM"/>
      <sheetName val="semanal "/>
      <sheetName val="acumulado"/>
      <sheetName val="COMP. X semana"/>
      <sheetName val="Graficas  "/>
      <sheetName val="comp.zafra"/>
      <sheetName val="Qmas de caña"/>
      <sheetName val="Hoja4"/>
    </sheetNames>
    <sheetDataSet>
      <sheetData sheetId="0">
        <row r="16">
          <cell r="O16">
            <v>6.479089279067975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indexed="42"/>
    <pageSetUpPr fitToPage="1"/>
  </sheetPr>
  <dimension ref="A1:V29"/>
  <sheetViews>
    <sheetView tabSelected="1" zoomScaleNormal="100" workbookViewId="0">
      <selection activeCell="A12" sqref="A12"/>
    </sheetView>
  </sheetViews>
  <sheetFormatPr baseColWidth="10" defaultRowHeight="26.25" customHeight="1" x14ac:dyDescent="0.25"/>
  <cols>
    <col min="1" max="1" width="2.85546875" style="9" customWidth="1"/>
    <col min="2" max="2" width="17" style="1" customWidth="1"/>
    <col min="3" max="3" width="15.42578125" style="1" customWidth="1"/>
    <col min="4" max="4" width="12.5703125" style="1" customWidth="1"/>
    <col min="5" max="5" width="8.42578125" style="1" customWidth="1"/>
    <col min="6" max="7" width="14.28515625" style="1" customWidth="1"/>
    <col min="8" max="8" width="14" style="1" customWidth="1"/>
    <col min="9" max="9" width="13.5703125" style="1" customWidth="1"/>
    <col min="10" max="10" width="12.140625" style="1" hidden="1" customWidth="1"/>
    <col min="11" max="11" width="11" style="1" customWidth="1"/>
    <col min="12" max="12" width="8.85546875" style="1" hidden="1" customWidth="1"/>
    <col min="13" max="13" width="11" style="9" hidden="1" customWidth="1"/>
    <col min="14" max="14" width="12.85546875" style="1" customWidth="1"/>
    <col min="15" max="15" width="11.85546875" style="1" hidden="1" customWidth="1"/>
    <col min="16" max="16" width="11.42578125" style="1" customWidth="1"/>
    <col min="17" max="18" width="8.140625" style="1" customWidth="1"/>
    <col min="19" max="20" width="10.85546875" style="1" customWidth="1"/>
    <col min="21" max="21" width="6" style="1" customWidth="1"/>
    <col min="22" max="22" width="8.42578125" style="1" customWidth="1"/>
    <col min="23" max="23" width="4.28515625" style="1" customWidth="1"/>
    <col min="24" max="24" width="8.28515625" style="1" customWidth="1"/>
    <col min="25" max="16384" width="11.42578125" style="1"/>
  </cols>
  <sheetData>
    <row r="1" spans="1:22" ht="20.25" customHeight="1" x14ac:dyDescent="0.3">
      <c r="A1" s="156"/>
      <c r="B1" s="260" t="s">
        <v>0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</row>
    <row r="2" spans="1:22" ht="21" customHeight="1" x14ac:dyDescent="0.3">
      <c r="A2" s="260" t="s">
        <v>1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</row>
    <row r="3" spans="1:22" ht="15" customHeight="1" x14ac:dyDescent="0.3">
      <c r="A3" s="156"/>
      <c r="B3" s="4"/>
      <c r="C3" s="4"/>
      <c r="D3" s="4"/>
      <c r="E3" s="4"/>
      <c r="F3" s="5"/>
      <c r="G3" s="5"/>
      <c r="H3" s="5"/>
      <c r="I3" s="52"/>
      <c r="J3" s="52"/>
      <c r="K3" s="52"/>
      <c r="L3" s="52"/>
      <c r="M3" s="220"/>
      <c r="N3" s="4"/>
      <c r="O3" s="4"/>
      <c r="P3" s="4"/>
      <c r="Q3" s="4"/>
      <c r="R3" s="4"/>
      <c r="S3" s="4"/>
      <c r="T3" s="4"/>
      <c r="U3" s="4"/>
      <c r="V3" s="4"/>
    </row>
    <row r="4" spans="1:22" ht="20.25" customHeight="1" x14ac:dyDescent="0.3">
      <c r="A4" s="261" t="s">
        <v>130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</row>
    <row r="5" spans="1:22" ht="18" customHeight="1" x14ac:dyDescent="0.3">
      <c r="A5" s="261" t="s">
        <v>103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</row>
    <row r="6" spans="1:22" s="36" customFormat="1" ht="19.5" customHeight="1" x14ac:dyDescent="0.3">
      <c r="A6" s="157"/>
      <c r="B6" s="44" t="s">
        <v>127</v>
      </c>
      <c r="C6" s="44" t="s">
        <v>133</v>
      </c>
      <c r="D6" s="44"/>
      <c r="E6" s="44"/>
      <c r="F6" s="44"/>
      <c r="G6" s="44"/>
      <c r="H6" s="44"/>
      <c r="I6" s="44"/>
      <c r="J6" s="44"/>
      <c r="K6" s="44"/>
      <c r="L6" s="44"/>
      <c r="M6" s="221"/>
      <c r="N6" s="44"/>
      <c r="O6" s="44"/>
      <c r="P6" s="44"/>
      <c r="Q6" s="44"/>
      <c r="R6" s="44"/>
      <c r="S6" s="44"/>
      <c r="T6" s="44"/>
      <c r="U6" s="44"/>
    </row>
    <row r="7" spans="1:22" ht="20.25" customHeight="1" x14ac:dyDescent="0.25">
      <c r="A7" s="158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22"/>
      <c r="N7" s="2"/>
      <c r="O7" s="2"/>
      <c r="P7" s="2"/>
      <c r="Q7" s="2"/>
      <c r="R7" s="2"/>
      <c r="S7" s="2"/>
      <c r="T7" s="2"/>
      <c r="U7" s="2"/>
    </row>
    <row r="8" spans="1:22" s="14" customFormat="1" ht="25.5" customHeight="1" x14ac:dyDescent="0.2">
      <c r="A8" s="159"/>
      <c r="B8" s="256" t="s">
        <v>20</v>
      </c>
      <c r="C8" s="256" t="s">
        <v>13</v>
      </c>
      <c r="D8" s="256" t="s">
        <v>23</v>
      </c>
      <c r="E8" s="256" t="s">
        <v>31</v>
      </c>
      <c r="F8" s="256" t="s">
        <v>12</v>
      </c>
      <c r="G8" s="264" t="s">
        <v>26</v>
      </c>
      <c r="H8" s="265"/>
      <c r="I8" s="266"/>
      <c r="J8" s="256" t="s">
        <v>25</v>
      </c>
      <c r="K8" s="262" t="s">
        <v>14</v>
      </c>
      <c r="L8" s="256" t="s">
        <v>15</v>
      </c>
      <c r="M8" s="262" t="s">
        <v>48</v>
      </c>
      <c r="N8" s="256" t="s">
        <v>27</v>
      </c>
      <c r="O8" s="256" t="s">
        <v>24</v>
      </c>
      <c r="P8" s="256" t="s">
        <v>16</v>
      </c>
      <c r="Q8" s="258" t="s">
        <v>28</v>
      </c>
      <c r="R8" s="259"/>
      <c r="S8" s="256" t="s">
        <v>17</v>
      </c>
      <c r="T8" s="256" t="s">
        <v>115</v>
      </c>
      <c r="U8" s="256" t="s">
        <v>18</v>
      </c>
      <c r="V8" s="262" t="s">
        <v>19</v>
      </c>
    </row>
    <row r="9" spans="1:22" s="15" customFormat="1" ht="48" customHeight="1" x14ac:dyDescent="0.25">
      <c r="A9" s="48"/>
      <c r="B9" s="257"/>
      <c r="C9" s="257"/>
      <c r="D9" s="257"/>
      <c r="E9" s="257"/>
      <c r="F9" s="257"/>
      <c r="G9" s="50" t="s">
        <v>2</v>
      </c>
      <c r="H9" s="53" t="s">
        <v>3</v>
      </c>
      <c r="I9" s="51" t="s">
        <v>4</v>
      </c>
      <c r="J9" s="257"/>
      <c r="K9" s="263"/>
      <c r="L9" s="257"/>
      <c r="M9" s="263"/>
      <c r="N9" s="257"/>
      <c r="O9" s="257"/>
      <c r="P9" s="257"/>
      <c r="Q9" s="49" t="s">
        <v>29</v>
      </c>
      <c r="R9" s="49" t="s">
        <v>30</v>
      </c>
      <c r="S9" s="257"/>
      <c r="T9" s="257"/>
      <c r="U9" s="257"/>
      <c r="V9" s="263"/>
    </row>
    <row r="10" spans="1:22" s="219" customFormat="1" ht="26.25" customHeight="1" x14ac:dyDescent="0.25">
      <c r="B10" s="223" t="s">
        <v>21</v>
      </c>
      <c r="C10" s="224">
        <v>1996685.47</v>
      </c>
      <c r="D10" s="225">
        <v>28313.53</v>
      </c>
      <c r="E10" s="225">
        <f t="shared" ref="E10:E15" si="0">C10/D10</f>
        <v>70.520541592659058</v>
      </c>
      <c r="F10" s="225">
        <v>228391.38</v>
      </c>
      <c r="G10" s="225">
        <v>1630355</v>
      </c>
      <c r="H10" s="225">
        <v>2906470</v>
      </c>
      <c r="I10" s="225">
        <f t="shared" ref="I10:I15" si="1">G10+H10</f>
        <v>4536825</v>
      </c>
      <c r="J10" s="225">
        <v>0</v>
      </c>
      <c r="K10" s="226">
        <f t="shared" ref="K10:K16" si="2">(I10+J10)/C10*100</f>
        <v>227.21781012409531</v>
      </c>
      <c r="L10" s="226"/>
      <c r="M10" s="226">
        <v>227.59</v>
      </c>
      <c r="N10" s="225">
        <v>15257527.539999999</v>
      </c>
      <c r="O10" s="225">
        <v>0</v>
      </c>
      <c r="P10" s="226">
        <f t="shared" ref="P10:P16" si="3">(N10+O10)/C10</f>
        <v>7.6414276405787636</v>
      </c>
      <c r="Q10" s="226">
        <v>7.5</v>
      </c>
      <c r="R10" s="227" t="s">
        <v>128</v>
      </c>
      <c r="S10" s="227" t="s">
        <v>109</v>
      </c>
      <c r="T10" s="227" t="s">
        <v>129</v>
      </c>
      <c r="U10" s="228">
        <v>158</v>
      </c>
      <c r="V10" s="229">
        <f>I10/I16*100</f>
        <v>27.2646510821878</v>
      </c>
    </row>
    <row r="11" spans="1:22" s="48" customFormat="1" ht="26.25" customHeight="1" x14ac:dyDescent="0.25">
      <c r="B11" s="25" t="s">
        <v>5</v>
      </c>
      <c r="C11" s="18">
        <v>1663361.84</v>
      </c>
      <c r="D11" s="18">
        <v>26950.13</v>
      </c>
      <c r="E11" s="18">
        <f t="shared" si="0"/>
        <v>61.719993187416911</v>
      </c>
      <c r="F11" s="18">
        <v>126727.94</v>
      </c>
      <c r="G11" s="18">
        <v>2864486.41</v>
      </c>
      <c r="H11" s="18">
        <v>1152846.28</v>
      </c>
      <c r="I11" s="18">
        <f t="shared" si="1"/>
        <v>4017332.6900000004</v>
      </c>
      <c r="J11" s="18">
        <v>0</v>
      </c>
      <c r="K11" s="20">
        <f t="shared" si="2"/>
        <v>241.5188681976737</v>
      </c>
      <c r="L11" s="20"/>
      <c r="M11" s="20">
        <v>241.52</v>
      </c>
      <c r="N11" s="18">
        <v>12543329</v>
      </c>
      <c r="O11" s="18">
        <v>0</v>
      </c>
      <c r="P11" s="20">
        <f t="shared" si="3"/>
        <v>7.540950320226175</v>
      </c>
      <c r="Q11" s="40">
        <v>7.04</v>
      </c>
      <c r="R11" s="40" t="s">
        <v>121</v>
      </c>
      <c r="S11" s="40" t="s">
        <v>110</v>
      </c>
      <c r="T11" s="40" t="s">
        <v>122</v>
      </c>
      <c r="U11" s="41">
        <v>135</v>
      </c>
      <c r="V11" s="42">
        <f>I11/I16*100</f>
        <v>24.142693199300599</v>
      </c>
    </row>
    <row r="12" spans="1:22" s="48" customFormat="1" ht="26.25" customHeight="1" x14ac:dyDescent="0.25">
      <c r="B12" s="25" t="s">
        <v>6</v>
      </c>
      <c r="C12" s="18">
        <v>1276762.29</v>
      </c>
      <c r="D12" s="18">
        <v>19470.240000000002</v>
      </c>
      <c r="E12" s="18">
        <f t="shared" si="0"/>
        <v>65.575066871286637</v>
      </c>
      <c r="F12" s="18">
        <v>52875</v>
      </c>
      <c r="G12" s="18">
        <v>2058960</v>
      </c>
      <c r="H12" s="18">
        <v>768748</v>
      </c>
      <c r="I12" s="18">
        <f t="shared" si="1"/>
        <v>2827708</v>
      </c>
      <c r="J12" s="18">
        <v>0</v>
      </c>
      <c r="K12" s="20">
        <f t="shared" si="2"/>
        <v>221.47489960719312</v>
      </c>
      <c r="L12" s="20"/>
      <c r="M12" s="20">
        <v>221.97</v>
      </c>
      <c r="N12" s="18">
        <v>10230383.880000001</v>
      </c>
      <c r="O12" s="18">
        <v>0</v>
      </c>
      <c r="P12" s="20">
        <f t="shared" si="3"/>
        <v>8.0127553579296276</v>
      </c>
      <c r="Q12" s="40">
        <v>3.88</v>
      </c>
      <c r="R12" s="40" t="s">
        <v>132</v>
      </c>
      <c r="S12" s="40" t="s">
        <v>111</v>
      </c>
      <c r="T12" s="40" t="s">
        <v>137</v>
      </c>
      <c r="U12" s="41">
        <v>159</v>
      </c>
      <c r="V12" s="42">
        <f>I12/I16*100</f>
        <v>16.993485969221009</v>
      </c>
    </row>
    <row r="13" spans="1:22" s="48" customFormat="1" ht="26.25" customHeight="1" x14ac:dyDescent="0.25">
      <c r="A13" s="48" t="s">
        <v>7</v>
      </c>
      <c r="B13" s="201" t="s">
        <v>8</v>
      </c>
      <c r="C13" s="18">
        <v>1011770.8586</v>
      </c>
      <c r="D13" s="18">
        <v>16577.349999999999</v>
      </c>
      <c r="E13" s="18">
        <f>C13/D13</f>
        <v>61.033329126790477</v>
      </c>
      <c r="F13" s="18">
        <v>99623.15</v>
      </c>
      <c r="G13" s="18">
        <v>1459688.04</v>
      </c>
      <c r="H13" s="18">
        <v>922746.73899999994</v>
      </c>
      <c r="I13" s="18">
        <f>G13+H13</f>
        <v>2382434.7790000001</v>
      </c>
      <c r="J13" s="18">
        <v>0</v>
      </c>
      <c r="K13" s="20">
        <f t="shared" si="2"/>
        <v>235.47177295624078</v>
      </c>
      <c r="L13" s="20"/>
      <c r="M13" s="20">
        <v>235.59</v>
      </c>
      <c r="N13" s="18">
        <v>8083536.7368000001</v>
      </c>
      <c r="O13" s="18">
        <v>0</v>
      </c>
      <c r="P13" s="20">
        <f t="shared" si="3"/>
        <v>7.9894935380776735</v>
      </c>
      <c r="Q13" s="20">
        <v>10.26</v>
      </c>
      <c r="R13" s="40" t="s">
        <v>123</v>
      </c>
      <c r="S13" s="40" t="s">
        <v>112</v>
      </c>
      <c r="T13" s="40" t="s">
        <v>124</v>
      </c>
      <c r="U13" s="41">
        <v>155</v>
      </c>
      <c r="V13" s="42">
        <f>I13/I16*100</f>
        <v>14.317557537596052</v>
      </c>
    </row>
    <row r="14" spans="1:22" s="48" customFormat="1" ht="26.25" customHeight="1" x14ac:dyDescent="0.25">
      <c r="B14" s="25" t="s">
        <v>10</v>
      </c>
      <c r="C14" s="18">
        <v>922311.81</v>
      </c>
      <c r="D14" s="18">
        <v>15281.73</v>
      </c>
      <c r="E14" s="18">
        <f t="shared" si="0"/>
        <v>60.353887288939148</v>
      </c>
      <c r="F14" s="18">
        <v>58540</v>
      </c>
      <c r="G14" s="18">
        <f>1476045.29+44576.78</f>
        <v>1520622.07</v>
      </c>
      <c r="H14" s="18">
        <v>562848.6</v>
      </c>
      <c r="I14" s="18">
        <f t="shared" si="1"/>
        <v>2083470.67</v>
      </c>
      <c r="J14" s="18">
        <v>0</v>
      </c>
      <c r="K14" s="20">
        <f t="shared" si="2"/>
        <v>225.89656203144571</v>
      </c>
      <c r="L14" s="20"/>
      <c r="M14" s="20">
        <v>226.83</v>
      </c>
      <c r="N14" s="18">
        <v>7362784</v>
      </c>
      <c r="O14" s="18">
        <v>0</v>
      </c>
      <c r="P14" s="20">
        <f t="shared" si="3"/>
        <v>7.9829661944803672</v>
      </c>
      <c r="Q14" s="40">
        <v>8.6300000000000008</v>
      </c>
      <c r="R14" s="40" t="s">
        <v>125</v>
      </c>
      <c r="S14" s="40" t="s">
        <v>113</v>
      </c>
      <c r="T14" s="40" t="s">
        <v>126</v>
      </c>
      <c r="U14" s="41">
        <v>144</v>
      </c>
      <c r="V14" s="42">
        <f>I14/I16*100</f>
        <v>12.520893104213195</v>
      </c>
    </row>
    <row r="15" spans="1:22" s="48" customFormat="1" ht="26.25" customHeight="1" x14ac:dyDescent="0.25">
      <c r="B15" s="25" t="s">
        <v>9</v>
      </c>
      <c r="C15" s="43">
        <v>331249.09499999997</v>
      </c>
      <c r="D15" s="18">
        <v>6411.94</v>
      </c>
      <c r="E15" s="18">
        <f t="shared" si="0"/>
        <v>51.661290498663433</v>
      </c>
      <c r="F15" s="18">
        <v>31570.29</v>
      </c>
      <c r="G15" s="18">
        <v>466841.21</v>
      </c>
      <c r="H15" s="18">
        <v>325340.19</v>
      </c>
      <c r="I15" s="18">
        <f t="shared" si="1"/>
        <v>792181.4</v>
      </c>
      <c r="J15" s="18">
        <v>0</v>
      </c>
      <c r="K15" s="20">
        <f t="shared" si="2"/>
        <v>239.14975526197287</v>
      </c>
      <c r="L15" s="20"/>
      <c r="M15" s="20">
        <v>239.15</v>
      </c>
      <c r="N15" s="18">
        <v>2832645</v>
      </c>
      <c r="O15" s="18">
        <v>0</v>
      </c>
      <c r="P15" s="20">
        <f t="shared" si="3"/>
        <v>8.5514044951579429</v>
      </c>
      <c r="Q15" s="40">
        <v>3.59</v>
      </c>
      <c r="R15" s="40" t="s">
        <v>116</v>
      </c>
      <c r="S15" s="40" t="s">
        <v>114</v>
      </c>
      <c r="T15" s="40" t="s">
        <v>117</v>
      </c>
      <c r="U15" s="41">
        <v>101</v>
      </c>
      <c r="V15" s="42">
        <f>I15/I16*100</f>
        <v>4.7607191074813437</v>
      </c>
    </row>
    <row r="16" spans="1:22" s="15" customFormat="1" ht="26.25" customHeight="1" x14ac:dyDescent="0.25">
      <c r="A16" s="48" t="s">
        <v>7</v>
      </c>
      <c r="B16" s="27" t="s">
        <v>4</v>
      </c>
      <c r="C16" s="17">
        <f>SUM(C10:C15)</f>
        <v>7202141.3635999998</v>
      </c>
      <c r="D16" s="17">
        <f>SUM(D10:D15)</f>
        <v>113004.92</v>
      </c>
      <c r="E16" s="17">
        <f>C16/D16</f>
        <v>63.732989356569604</v>
      </c>
      <c r="F16" s="17">
        <f>SUM(F10:F15)</f>
        <v>597727.76</v>
      </c>
      <c r="G16" s="17">
        <f>SUM(G10:G15)</f>
        <v>10000952.73</v>
      </c>
      <c r="H16" s="17">
        <f>SUM(H10:H15)</f>
        <v>6638999.8090000004</v>
      </c>
      <c r="I16" s="17">
        <f>SUM(I10:I15)</f>
        <v>16639952.539000001</v>
      </c>
      <c r="J16" s="17">
        <f>SUM(J10:J15)</f>
        <v>0</v>
      </c>
      <c r="K16" s="19">
        <f t="shared" si="2"/>
        <v>231.04173743519107</v>
      </c>
      <c r="L16" s="20"/>
      <c r="M16" s="20">
        <v>231.53</v>
      </c>
      <c r="N16" s="17">
        <f>SUM(N10:N15)</f>
        <v>56310206.156800002</v>
      </c>
      <c r="O16" s="17">
        <f>SUM(O10:O15)</f>
        <v>0</v>
      </c>
      <c r="P16" s="19">
        <f t="shared" si="3"/>
        <v>7.8185366426428029</v>
      </c>
      <c r="Q16" s="19"/>
      <c r="R16" s="19"/>
      <c r="S16" s="19"/>
      <c r="T16" s="19"/>
      <c r="U16" s="22"/>
      <c r="V16" s="23">
        <f>SUM(V10:V15)</f>
        <v>100</v>
      </c>
    </row>
    <row r="17" spans="1:22" s="15" customFormat="1" ht="26.25" customHeight="1" x14ac:dyDescent="0.25">
      <c r="A17" s="48"/>
      <c r="B17" s="28" t="s">
        <v>11</v>
      </c>
      <c r="I17" s="29"/>
      <c r="J17" s="29"/>
      <c r="K17" s="30"/>
      <c r="L17" s="31"/>
      <c r="M17" s="31"/>
      <c r="U17" s="32"/>
      <c r="V17" s="3"/>
    </row>
    <row r="18" spans="1:22" ht="24" customHeight="1" x14ac:dyDescent="0.25">
      <c r="B18" s="2"/>
      <c r="I18" s="8"/>
      <c r="J18" s="8"/>
      <c r="L18" s="9"/>
      <c r="N18" s="8"/>
      <c r="O18" s="8"/>
      <c r="P18" s="8"/>
      <c r="U18" s="6"/>
      <c r="V18" s="2"/>
    </row>
    <row r="19" spans="1:22" ht="26.25" customHeight="1" x14ac:dyDescent="0.3">
      <c r="B19" s="44"/>
      <c r="F19" s="34"/>
      <c r="K19" s="10"/>
      <c r="L19" s="9"/>
      <c r="V19" s="2"/>
    </row>
    <row r="20" spans="1:22" ht="26.25" customHeight="1" x14ac:dyDescent="0.25">
      <c r="B20" s="2"/>
      <c r="C20" s="46"/>
      <c r="I20" s="11"/>
      <c r="J20" s="11"/>
      <c r="L20" s="9"/>
    </row>
    <row r="21" spans="1:22" ht="26.25" customHeight="1" x14ac:dyDescent="0.25">
      <c r="C21" s="46"/>
      <c r="I21" s="7"/>
      <c r="J21" s="7"/>
      <c r="L21" s="9"/>
    </row>
    <row r="22" spans="1:22" ht="26.25" customHeight="1" x14ac:dyDescent="0.25">
      <c r="I22" s="11"/>
      <c r="J22" s="11"/>
      <c r="L22" s="9"/>
    </row>
    <row r="23" spans="1:22" ht="26.25" customHeight="1" x14ac:dyDescent="0.25">
      <c r="I23" s="12"/>
      <c r="J23" s="12"/>
      <c r="L23" s="9"/>
    </row>
    <row r="24" spans="1:22" ht="26.25" customHeight="1" x14ac:dyDescent="0.25">
      <c r="L24" s="9"/>
    </row>
    <row r="25" spans="1:22" ht="26.25" customHeight="1" x14ac:dyDescent="0.25">
      <c r="I25" s="13"/>
      <c r="J25" s="13"/>
      <c r="L25" s="9"/>
    </row>
    <row r="26" spans="1:22" ht="26.25" customHeight="1" x14ac:dyDescent="0.25">
      <c r="I26" s="10"/>
      <c r="J26" s="10"/>
      <c r="L26" s="9"/>
    </row>
    <row r="27" spans="1:22" ht="26.25" customHeight="1" x14ac:dyDescent="0.25">
      <c r="I27" s="11"/>
      <c r="J27" s="11"/>
      <c r="L27" s="9"/>
    </row>
    <row r="28" spans="1:22" ht="26.25" customHeight="1" x14ac:dyDescent="0.25">
      <c r="I28" s="7"/>
      <c r="J28" s="7"/>
      <c r="L28" s="9"/>
    </row>
    <row r="29" spans="1:22" ht="26.25" customHeight="1" x14ac:dyDescent="0.25">
      <c r="I29" s="7"/>
      <c r="J29" s="7"/>
    </row>
  </sheetData>
  <mergeCells count="22">
    <mergeCell ref="B1:V1"/>
    <mergeCell ref="A2:V2"/>
    <mergeCell ref="A4:V4"/>
    <mergeCell ref="A5:V5"/>
    <mergeCell ref="K8:K9"/>
    <mergeCell ref="L8:L9"/>
    <mergeCell ref="G8:I8"/>
    <mergeCell ref="D8:D9"/>
    <mergeCell ref="E8:E9"/>
    <mergeCell ref="J8:J9"/>
    <mergeCell ref="O8:O9"/>
    <mergeCell ref="U8:U9"/>
    <mergeCell ref="M8:M9"/>
    <mergeCell ref="V8:V9"/>
    <mergeCell ref="B8:B9"/>
    <mergeCell ref="S8:S9"/>
    <mergeCell ref="T8:T9"/>
    <mergeCell ref="P8:P9"/>
    <mergeCell ref="C8:C9"/>
    <mergeCell ref="F8:F9"/>
    <mergeCell ref="N8:N9"/>
    <mergeCell ref="Q8:R8"/>
  </mergeCells>
  <phoneticPr fontId="0" type="noConversion"/>
  <pageMargins left="0.12" right="0.46" top="0.75" bottom="0.75" header="0.3" footer="0.3"/>
  <pageSetup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 tint="-0.249977111117893"/>
    <pageSetUpPr fitToPage="1"/>
  </sheetPr>
  <dimension ref="A1:V29"/>
  <sheetViews>
    <sheetView zoomScale="130" zoomScaleNormal="130" workbookViewId="0">
      <selection activeCell="A5" sqref="A5:V5"/>
    </sheetView>
  </sheetViews>
  <sheetFormatPr baseColWidth="10" defaultRowHeight="26.25" customHeight="1" x14ac:dyDescent="0.25"/>
  <cols>
    <col min="1" max="1" width="18.140625" style="1" customWidth="1"/>
    <col min="2" max="2" width="14" style="1" customWidth="1"/>
    <col min="3" max="3" width="13.7109375" style="1" customWidth="1"/>
    <col min="4" max="4" width="12.140625" style="1" customWidth="1"/>
    <col min="5" max="5" width="14.28515625" style="1" customWidth="1"/>
    <col min="6" max="6" width="14.140625" style="1" customWidth="1"/>
    <col min="7" max="7" width="13" style="1" customWidth="1"/>
    <col min="8" max="8" width="13.42578125" style="1" customWidth="1"/>
    <col min="9" max="9" width="12.140625" style="1" hidden="1" customWidth="1"/>
    <col min="10" max="10" width="12" style="1" customWidth="1"/>
    <col min="11" max="11" width="10.85546875" style="1" hidden="1" customWidth="1"/>
    <col min="12" max="12" width="12.85546875" style="1" customWidth="1"/>
    <col min="13" max="13" width="11.85546875" style="1" hidden="1" customWidth="1"/>
    <col min="14" max="14" width="12.42578125" style="1" customWidth="1"/>
    <col min="15" max="16" width="8.7109375" style="1" customWidth="1"/>
    <col min="17" max="18" width="10.85546875" style="1" customWidth="1"/>
    <col min="19" max="19" width="8.140625" style="1" customWidth="1"/>
    <col min="20" max="20" width="7.140625" style="1" customWidth="1"/>
    <col min="21" max="21" width="4.28515625" style="1" customWidth="1"/>
    <col min="22" max="22" width="8.28515625" style="1" customWidth="1"/>
    <col min="23" max="16384" width="11.42578125" style="1"/>
  </cols>
  <sheetData>
    <row r="1" spans="1:22" ht="20.25" customHeight="1" x14ac:dyDescent="0.3">
      <c r="A1" s="4"/>
      <c r="B1" s="260" t="s">
        <v>0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</row>
    <row r="2" spans="1:22" ht="21" customHeight="1" x14ac:dyDescent="0.3">
      <c r="A2" s="260" t="s">
        <v>1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</row>
    <row r="3" spans="1:22" ht="15" customHeight="1" x14ac:dyDescent="0.3">
      <c r="A3" s="4"/>
      <c r="B3" s="4"/>
      <c r="C3" s="4"/>
      <c r="D3" s="4"/>
      <c r="E3" s="4"/>
      <c r="F3" s="5"/>
      <c r="G3" s="5"/>
      <c r="H3" s="5"/>
      <c r="I3" s="155"/>
      <c r="J3" s="155"/>
      <c r="K3" s="155"/>
      <c r="L3" s="155"/>
      <c r="M3" s="155"/>
      <c r="N3" s="4"/>
      <c r="O3" s="4"/>
      <c r="P3" s="4"/>
      <c r="Q3" s="4"/>
      <c r="R3" s="4"/>
      <c r="S3" s="4"/>
      <c r="T3" s="4"/>
      <c r="U3" s="4"/>
      <c r="V3" s="4"/>
    </row>
    <row r="4" spans="1:22" ht="20.25" customHeight="1" x14ac:dyDescent="0.3">
      <c r="A4" s="261" t="s">
        <v>130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</row>
    <row r="5" spans="1:22" ht="18" customHeight="1" x14ac:dyDescent="0.3">
      <c r="A5" s="261" t="s">
        <v>103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</row>
    <row r="6" spans="1:22" s="36" customFormat="1" ht="19.5" customHeight="1" x14ac:dyDescent="0.3">
      <c r="A6" s="44" t="s">
        <v>127</v>
      </c>
      <c r="B6" s="44" t="s">
        <v>133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pans="1:22" ht="20.2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22" s="14" customFormat="1" ht="25.5" customHeight="1" x14ac:dyDescent="0.2">
      <c r="A8" s="256" t="s">
        <v>20</v>
      </c>
      <c r="B8" s="256" t="s">
        <v>32</v>
      </c>
      <c r="C8" s="256" t="s">
        <v>33</v>
      </c>
      <c r="D8" s="256" t="s">
        <v>34</v>
      </c>
      <c r="E8" s="256" t="s">
        <v>35</v>
      </c>
      <c r="F8" s="267" t="s">
        <v>36</v>
      </c>
      <c r="G8" s="268"/>
      <c r="H8" s="269"/>
      <c r="I8" s="256" t="s">
        <v>37</v>
      </c>
      <c r="J8" s="262" t="s">
        <v>38</v>
      </c>
      <c r="K8" s="256" t="s">
        <v>39</v>
      </c>
      <c r="L8" s="256" t="s">
        <v>40</v>
      </c>
      <c r="M8" s="256" t="s">
        <v>41</v>
      </c>
      <c r="N8" s="256" t="s">
        <v>42</v>
      </c>
      <c r="O8" s="258" t="s">
        <v>28</v>
      </c>
      <c r="P8" s="259"/>
      <c r="Q8" s="256" t="s">
        <v>17</v>
      </c>
      <c r="R8" s="256" t="s">
        <v>115</v>
      </c>
      <c r="S8" s="256" t="s">
        <v>18</v>
      </c>
      <c r="T8" s="262" t="s">
        <v>19</v>
      </c>
    </row>
    <row r="9" spans="1:22" s="15" customFormat="1" ht="42" customHeight="1" x14ac:dyDescent="0.25">
      <c r="A9" s="257"/>
      <c r="B9" s="257"/>
      <c r="C9" s="257"/>
      <c r="D9" s="257"/>
      <c r="E9" s="257"/>
      <c r="F9" s="37" t="s">
        <v>2</v>
      </c>
      <c r="G9" s="33" t="s">
        <v>3</v>
      </c>
      <c r="H9" s="38" t="s">
        <v>4</v>
      </c>
      <c r="I9" s="257"/>
      <c r="J9" s="263"/>
      <c r="K9" s="257"/>
      <c r="L9" s="257"/>
      <c r="M9" s="257"/>
      <c r="N9" s="257"/>
      <c r="O9" s="39" t="s">
        <v>29</v>
      </c>
      <c r="P9" s="39" t="s">
        <v>30</v>
      </c>
      <c r="Q9" s="257"/>
      <c r="R9" s="257"/>
      <c r="S9" s="257"/>
      <c r="T9" s="263"/>
    </row>
    <row r="10" spans="1:22" s="15" customFormat="1" ht="26.25" customHeight="1" x14ac:dyDescent="0.25">
      <c r="A10" s="16" t="s">
        <v>21</v>
      </c>
      <c r="B10" s="45">
        <f>'25.04.17'!C10*0.92</f>
        <v>1836950.6324</v>
      </c>
      <c r="C10" s="17">
        <f>'25.04.17'!D10*0.702579</f>
        <v>19892.49159387</v>
      </c>
      <c r="D10" s="17">
        <f t="shared" ref="D10:D16" si="0">B10/C10</f>
        <v>92.343918997360205</v>
      </c>
      <c r="E10" s="17">
        <f>'25.04.17'!F10*0.92</f>
        <v>210120.06960000002</v>
      </c>
      <c r="F10" s="18">
        <f>'25.04.17'!G10*0.046</f>
        <v>74996.33</v>
      </c>
      <c r="G10" s="18">
        <f>'25.04.17'!H10*0.046</f>
        <v>133697.62</v>
      </c>
      <c r="H10" s="17">
        <f t="shared" ref="H10:H15" si="1">F10+G10</f>
        <v>208693.95</v>
      </c>
      <c r="I10" s="17">
        <f>'25.04.17'!J10*0.046</f>
        <v>0</v>
      </c>
      <c r="J10" s="19">
        <f>'25.04.17'!K10*0.46/0.92</f>
        <v>113.60890506204764</v>
      </c>
      <c r="K10" s="20">
        <v>113.89</v>
      </c>
      <c r="L10" s="17">
        <f>'25.04.17'!N10/181.16</f>
        <v>84221.282512695951</v>
      </c>
      <c r="M10" s="17">
        <f>'25.04.17'!O10/181.16</f>
        <v>0</v>
      </c>
      <c r="N10" s="19">
        <f>'25.04.17'!P10*5.52/0.92</f>
        <v>45.848565843472578</v>
      </c>
      <c r="O10" s="19">
        <f>'25.04.17'!Q10</f>
        <v>7.5</v>
      </c>
      <c r="P10" s="21" t="str">
        <f>'25.04.17'!R10</f>
        <v>283:28</v>
      </c>
      <c r="Q10" s="21" t="str">
        <f>'25.04.17'!S10</f>
        <v>11/11/2016</v>
      </c>
      <c r="R10" s="21" t="str">
        <f>'25.04.17'!T10</f>
        <v>17/04/2017</v>
      </c>
      <c r="S10" s="24">
        <f>'25.04.17'!U10</f>
        <v>158</v>
      </c>
      <c r="T10" s="23">
        <f>H10/H16*100</f>
        <v>27.2646510821878</v>
      </c>
    </row>
    <row r="11" spans="1:22" s="15" customFormat="1" ht="26.25" customHeight="1" x14ac:dyDescent="0.25">
      <c r="A11" s="16" t="s">
        <v>5</v>
      </c>
      <c r="B11" s="45">
        <f>'25.04.17'!C11*0.92</f>
        <v>1530292.8928</v>
      </c>
      <c r="C11" s="17">
        <f>'25.04.17'!D11*0.702579</f>
        <v>18934.59538527</v>
      </c>
      <c r="D11" s="17">
        <f t="shared" si="0"/>
        <v>80.819941575856319</v>
      </c>
      <c r="E11" s="17">
        <f>'25.04.17'!F11*0.92</f>
        <v>116589.70480000001</v>
      </c>
      <c r="F11" s="18">
        <f>'25.04.17'!G11*0.046</f>
        <v>131766.37486000001</v>
      </c>
      <c r="G11" s="18">
        <f>'25.04.17'!H11*0.046</f>
        <v>53030.928879999999</v>
      </c>
      <c r="H11" s="17">
        <f t="shared" si="1"/>
        <v>184797.30374</v>
      </c>
      <c r="I11" s="17">
        <f>'25.04.17'!J11*0.046</f>
        <v>0</v>
      </c>
      <c r="J11" s="19">
        <f>'25.04.17'!K11*0.46/0.92</f>
        <v>120.75943409883685</v>
      </c>
      <c r="K11" s="20">
        <v>120.76</v>
      </c>
      <c r="L11" s="17">
        <f>'25.04.17'!N11/181.16</f>
        <v>69238.954515345555</v>
      </c>
      <c r="M11" s="17">
        <f>'25.04.17'!O11/181.16</f>
        <v>0</v>
      </c>
      <c r="N11" s="19">
        <f>'25.04.17'!P11*5.52/0.92</f>
        <v>45.245701921357046</v>
      </c>
      <c r="O11" s="19">
        <f>'25.04.17'!Q11</f>
        <v>7.04</v>
      </c>
      <c r="P11" s="21" t="str">
        <f>'25.04.17'!R11</f>
        <v>223:10</v>
      </c>
      <c r="Q11" s="21" t="str">
        <f>'25.04.17'!S11</f>
        <v>16/11/2016</v>
      </c>
      <c r="R11" s="21" t="str">
        <f>'25.04.17'!T11</f>
        <v>31/03/2017</v>
      </c>
      <c r="S11" s="24">
        <f>'25.04.17'!U11</f>
        <v>135</v>
      </c>
      <c r="T11" s="23">
        <f>H11/H16*100</f>
        <v>24.142693199300595</v>
      </c>
    </row>
    <row r="12" spans="1:22" s="15" customFormat="1" ht="26.25" customHeight="1" x14ac:dyDescent="0.25">
      <c r="A12" s="25" t="s">
        <v>6</v>
      </c>
      <c r="B12" s="45">
        <f>'25.04.17'!C12*0.92</f>
        <v>1174621.3068000001</v>
      </c>
      <c r="C12" s="17">
        <f>'25.04.17'!D12*0.702579</f>
        <v>13679.381748960001</v>
      </c>
      <c r="D12" s="17">
        <f t="shared" si="0"/>
        <v>85.868011314860979</v>
      </c>
      <c r="E12" s="17">
        <f>'25.04.17'!F12*0.92</f>
        <v>48645</v>
      </c>
      <c r="F12" s="18">
        <f>'25.04.17'!G12*0.046</f>
        <v>94712.16</v>
      </c>
      <c r="G12" s="18">
        <f>'25.04.17'!H12*0.046</f>
        <v>35362.407999999996</v>
      </c>
      <c r="H12" s="17">
        <f t="shared" si="1"/>
        <v>130074.568</v>
      </c>
      <c r="I12" s="17">
        <f>'25.04.17'!J12*0.046</f>
        <v>0</v>
      </c>
      <c r="J12" s="19">
        <f>'25.04.17'!K12*0.46/0.92</f>
        <v>110.73744980359656</v>
      </c>
      <c r="K12" s="20">
        <v>110.59</v>
      </c>
      <c r="L12" s="17">
        <f>'25.04.17'!N12/181.16</f>
        <v>56471.538308677416</v>
      </c>
      <c r="M12" s="17">
        <f>'25.04.17'!O12/181.16</f>
        <v>0</v>
      </c>
      <c r="N12" s="19">
        <f>'25.04.17'!P12*5.52/0.92</f>
        <v>48.076532147577758</v>
      </c>
      <c r="O12" s="19">
        <f>'25.04.17'!Q12</f>
        <v>3.88</v>
      </c>
      <c r="P12" s="21" t="str">
        <f>'25.04.17'!R12</f>
        <v>147:05</v>
      </c>
      <c r="Q12" s="21" t="str">
        <f>'25.04.17'!S12</f>
        <v>18/11/2016</v>
      </c>
      <c r="R12" s="21" t="str">
        <f>'25.04.17'!T12</f>
        <v>25/04/2017</v>
      </c>
      <c r="S12" s="24">
        <f>'25.04.17'!U12</f>
        <v>159</v>
      </c>
      <c r="T12" s="23">
        <f>H12/H16*100</f>
        <v>16.993485969221005</v>
      </c>
    </row>
    <row r="13" spans="1:22" s="15" customFormat="1" ht="26.25" customHeight="1" x14ac:dyDescent="0.25">
      <c r="A13" s="26" t="s">
        <v>8</v>
      </c>
      <c r="B13" s="45">
        <f>'25.04.17'!C13*0.92</f>
        <v>930829.18991200009</v>
      </c>
      <c r="C13" s="17">
        <f>'25.04.17'!D13*0.702579</f>
        <v>11646.897985649999</v>
      </c>
      <c r="D13" s="17">
        <f t="shared" si="0"/>
        <v>79.920781572815642</v>
      </c>
      <c r="E13" s="17">
        <f>'25.04.17'!F13*0.92</f>
        <v>91653.297999999995</v>
      </c>
      <c r="F13" s="18">
        <f>'25.04.17'!G13*0.046</f>
        <v>67145.649839999998</v>
      </c>
      <c r="G13" s="18">
        <f>'25.04.17'!H13*0.046</f>
        <v>42446.349993999997</v>
      </c>
      <c r="H13" s="17">
        <f t="shared" si="1"/>
        <v>109591.99983399999</v>
      </c>
      <c r="I13" s="17">
        <f>'25.04.17'!J13*0.046</f>
        <v>0</v>
      </c>
      <c r="J13" s="19">
        <f>'25.04.17'!K13*0.46/0.92</f>
        <v>117.73588647812039</v>
      </c>
      <c r="K13" s="20">
        <v>117.79</v>
      </c>
      <c r="L13" s="17">
        <f>'25.04.17'!N13/181.16</f>
        <v>44620.98</v>
      </c>
      <c r="M13" s="17">
        <f>'25.04.17'!O13/181.16</f>
        <v>0</v>
      </c>
      <c r="N13" s="19">
        <f>'25.04.17'!P13*5.52/0.92</f>
        <v>47.936961228466039</v>
      </c>
      <c r="O13" s="19">
        <f>'25.04.17'!Q13</f>
        <v>10.26</v>
      </c>
      <c r="P13" s="21" t="str">
        <f>'25.04.17'!R13</f>
        <v>383:45</v>
      </c>
      <c r="Q13" s="21" t="str">
        <f>'25.04.17'!S13</f>
        <v>08/11/2016</v>
      </c>
      <c r="R13" s="21" t="str">
        <f>'25.04.17'!T13</f>
        <v>13/04/2017</v>
      </c>
      <c r="S13" s="24">
        <f>'25.04.17'!U13</f>
        <v>155</v>
      </c>
      <c r="T13" s="23">
        <f>H13/H16*100</f>
        <v>14.317557537596048</v>
      </c>
    </row>
    <row r="14" spans="1:22" s="15" customFormat="1" ht="26.25" customHeight="1" x14ac:dyDescent="0.25">
      <c r="A14" s="16" t="s">
        <v>10</v>
      </c>
      <c r="B14" s="45">
        <f>'25.04.17'!C14*0.92</f>
        <v>848526.86520000012</v>
      </c>
      <c r="C14" s="17">
        <f>'25.04.17'!D14*0.702579</f>
        <v>10736.622581669999</v>
      </c>
      <c r="D14" s="17">
        <f t="shared" si="0"/>
        <v>79.03107879088904</v>
      </c>
      <c r="E14" s="17">
        <f>'25.04.17'!F14*0.92</f>
        <v>53856.800000000003</v>
      </c>
      <c r="F14" s="18">
        <f>'25.04.17'!G14*0.046</f>
        <v>69948.615220000007</v>
      </c>
      <c r="G14" s="18">
        <f>'25.04.17'!H14*0.046</f>
        <v>25891.035599999999</v>
      </c>
      <c r="H14" s="17">
        <f t="shared" si="1"/>
        <v>95839.65082000001</v>
      </c>
      <c r="I14" s="17">
        <f>'25.04.17'!J14*0.046</f>
        <v>0</v>
      </c>
      <c r="J14" s="19">
        <f>'25.04.17'!K14*0.46/0.92</f>
        <v>112.94828101572286</v>
      </c>
      <c r="K14" s="20">
        <v>113.17</v>
      </c>
      <c r="L14" s="17">
        <f>'25.04.17'!N14/181.16</f>
        <v>40642.437624199607</v>
      </c>
      <c r="M14" s="17">
        <f>'25.04.17'!O14/181.16</f>
        <v>0</v>
      </c>
      <c r="N14" s="19">
        <f>'25.04.17'!P14*5.52/0.92</f>
        <v>47.897797166882192</v>
      </c>
      <c r="O14" s="19">
        <f>'25.04.17'!Q14</f>
        <v>8.6300000000000008</v>
      </c>
      <c r="P14" s="21" t="str">
        <f>'25.04.17'!R14</f>
        <v>296:20</v>
      </c>
      <c r="Q14" s="21" t="str">
        <f>'25.04.17'!S14</f>
        <v>23/11/2016</v>
      </c>
      <c r="R14" s="21" t="str">
        <f>'25.04.17'!T14</f>
        <v>15/04/2016</v>
      </c>
      <c r="S14" s="24">
        <f>'25.04.17'!U14</f>
        <v>144</v>
      </c>
      <c r="T14" s="23">
        <f>H14/H16*100</f>
        <v>12.520893104213199</v>
      </c>
    </row>
    <row r="15" spans="1:22" s="15" customFormat="1" ht="26.25" customHeight="1" x14ac:dyDescent="0.25">
      <c r="A15" s="16" t="s">
        <v>9</v>
      </c>
      <c r="B15" s="45">
        <f>'25.04.17'!C15*0.92</f>
        <v>304749.16739999998</v>
      </c>
      <c r="C15" s="17">
        <f>'25.04.17'!D15*0.702579</f>
        <v>4504.8943932599996</v>
      </c>
      <c r="D15" s="17">
        <f t="shared" si="0"/>
        <v>67.648459829813248</v>
      </c>
      <c r="E15" s="17">
        <f>'25.04.17'!F15*0.92</f>
        <v>29044.666800000003</v>
      </c>
      <c r="F15" s="18">
        <f>'25.04.17'!G15*0.046</f>
        <v>21474.695660000001</v>
      </c>
      <c r="G15" s="18">
        <f>'25.04.17'!H15*0.046</f>
        <v>14965.648740000001</v>
      </c>
      <c r="H15" s="17">
        <f t="shared" si="1"/>
        <v>36440.344400000002</v>
      </c>
      <c r="I15" s="17">
        <f>'25.04.17'!J15*0.046</f>
        <v>0</v>
      </c>
      <c r="J15" s="19">
        <f>'25.04.17'!K15*0.46/0.92</f>
        <v>119.57487763098644</v>
      </c>
      <c r="K15" s="20">
        <v>119.57487763098644</v>
      </c>
      <c r="L15" s="17">
        <v>0</v>
      </c>
      <c r="M15" s="17">
        <f>'25.04.17'!O15/181.16</f>
        <v>0</v>
      </c>
      <c r="N15" s="19">
        <f>'25.04.17'!P15*5.52/0.92</f>
        <v>51.30842697094765</v>
      </c>
      <c r="O15" s="19">
        <f>'25.04.17'!Q15</f>
        <v>3.59</v>
      </c>
      <c r="P15" s="21" t="str">
        <f>'25.04.17'!R15</f>
        <v>87:20</v>
      </c>
      <c r="Q15" s="21" t="str">
        <f>'25.04.17'!S15</f>
        <v>06/12/2016</v>
      </c>
      <c r="R15" s="21" t="str">
        <f>'25.04.17'!T15</f>
        <v>16/03/2017</v>
      </c>
      <c r="S15" s="24">
        <f>'25.04.17'!U15</f>
        <v>101</v>
      </c>
      <c r="T15" s="23">
        <f>H15/H16*100</f>
        <v>4.7607191074813437</v>
      </c>
    </row>
    <row r="16" spans="1:22" s="15" customFormat="1" ht="26.25" customHeight="1" x14ac:dyDescent="0.25">
      <c r="A16" s="27" t="s">
        <v>4</v>
      </c>
      <c r="B16" s="17">
        <f>SUM(B10:B15)</f>
        <v>6625970.0545119997</v>
      </c>
      <c r="C16" s="17">
        <f>SUM(C10:C15)</f>
        <v>79394.883688679998</v>
      </c>
      <c r="D16" s="17">
        <f t="shared" si="0"/>
        <v>83.455882125773812</v>
      </c>
      <c r="E16" s="17">
        <f>SUM(E10:E15)</f>
        <v>549909.5392</v>
      </c>
      <c r="F16" s="17">
        <f>SUM(F10:F15)</f>
        <v>460043.82558</v>
      </c>
      <c r="G16" s="17">
        <f>SUM(G10:G15)</f>
        <v>305393.99121399998</v>
      </c>
      <c r="H16" s="17">
        <f>SUM(H10:H15)</f>
        <v>765437.8167940001</v>
      </c>
      <c r="I16" s="17">
        <f>SUM(I10:I15)</f>
        <v>0</v>
      </c>
      <c r="J16" s="19">
        <f>'25.04.17'!K16*0.46/0.92</f>
        <v>115.52086871759553</v>
      </c>
      <c r="K16" s="20">
        <v>115.79</v>
      </c>
      <c r="L16" s="17">
        <f>SUM(L10:L15)</f>
        <v>295195.19296091853</v>
      </c>
      <c r="M16" s="17">
        <f>SUM(M10:M15)</f>
        <v>0</v>
      </c>
      <c r="N16" s="19">
        <f>'[1]2.12.12'!O16*5.52/0.92</f>
        <v>38.874535674407845</v>
      </c>
      <c r="O16" s="19"/>
      <c r="P16" s="19"/>
      <c r="Q16" s="19"/>
      <c r="R16" s="19"/>
      <c r="S16" s="22"/>
      <c r="T16" s="23">
        <f>SUM(T10:T15)</f>
        <v>99.999999999999986</v>
      </c>
    </row>
    <row r="17" spans="1:20" s="15" customFormat="1" ht="26.25" customHeight="1" x14ac:dyDescent="0.25">
      <c r="A17" s="28" t="s">
        <v>11</v>
      </c>
      <c r="H17" s="29"/>
      <c r="I17" s="29"/>
      <c r="J17" s="30"/>
      <c r="K17" s="31"/>
      <c r="S17" s="32"/>
      <c r="T17" s="3"/>
    </row>
    <row r="18" spans="1:20" ht="17.25" customHeight="1" x14ac:dyDescent="0.25">
      <c r="H18" s="8"/>
      <c r="I18" s="8"/>
      <c r="K18" s="9"/>
      <c r="L18" s="8"/>
      <c r="M18" s="8"/>
      <c r="N18" s="8"/>
      <c r="S18" s="6"/>
      <c r="T18" s="2"/>
    </row>
    <row r="19" spans="1:20" ht="26.25" customHeight="1" x14ac:dyDescent="0.25">
      <c r="A19" s="255"/>
      <c r="I19" s="10"/>
      <c r="J19" s="46"/>
      <c r="K19" s="8"/>
      <c r="T19" s="2"/>
    </row>
    <row r="20" spans="1:20" ht="26.25" customHeight="1" x14ac:dyDescent="0.25">
      <c r="A20" s="199"/>
      <c r="H20" s="11"/>
      <c r="I20" s="11"/>
      <c r="K20" s="9"/>
    </row>
    <row r="21" spans="1:20" ht="26.25" customHeight="1" x14ac:dyDescent="0.25">
      <c r="H21" s="7"/>
      <c r="I21" s="7"/>
      <c r="K21" s="9"/>
    </row>
    <row r="22" spans="1:20" ht="26.25" customHeight="1" x14ac:dyDescent="0.25">
      <c r="H22" s="11"/>
      <c r="I22" s="11"/>
      <c r="K22" s="9"/>
    </row>
    <row r="23" spans="1:20" ht="26.25" customHeight="1" x14ac:dyDescent="0.25">
      <c r="H23" s="12"/>
      <c r="I23" s="12"/>
      <c r="K23" s="9"/>
    </row>
    <row r="24" spans="1:20" ht="26.25" customHeight="1" x14ac:dyDescent="0.25">
      <c r="K24" s="9"/>
    </row>
    <row r="25" spans="1:20" ht="26.25" customHeight="1" x14ac:dyDescent="0.25">
      <c r="H25" s="13"/>
      <c r="I25" s="13"/>
      <c r="K25" s="9"/>
    </row>
    <row r="26" spans="1:20" ht="26.25" customHeight="1" x14ac:dyDescent="0.25">
      <c r="H26" s="10"/>
      <c r="I26" s="10"/>
      <c r="K26" s="9"/>
    </row>
    <row r="27" spans="1:20" ht="26.25" customHeight="1" x14ac:dyDescent="0.25">
      <c r="H27" s="11"/>
      <c r="I27" s="11"/>
      <c r="K27" s="9"/>
    </row>
    <row r="28" spans="1:20" ht="26.25" customHeight="1" x14ac:dyDescent="0.25">
      <c r="H28" s="7"/>
      <c r="I28" s="7"/>
      <c r="K28" s="9"/>
    </row>
    <row r="29" spans="1:20" ht="26.25" customHeight="1" x14ac:dyDescent="0.25">
      <c r="H29" s="7"/>
      <c r="I29" s="7"/>
    </row>
  </sheetData>
  <mergeCells count="21">
    <mergeCell ref="O8:P8"/>
    <mergeCell ref="Q8:Q9"/>
    <mergeCell ref="B1:V1"/>
    <mergeCell ref="A2:V2"/>
    <mergeCell ref="A4:V4"/>
    <mergeCell ref="A5:V5"/>
    <mergeCell ref="S8:S9"/>
    <mergeCell ref="T8:T9"/>
    <mergeCell ref="I8:I9"/>
    <mergeCell ref="J8:J9"/>
    <mergeCell ref="K8:K9"/>
    <mergeCell ref="L8:L9"/>
    <mergeCell ref="M8:M9"/>
    <mergeCell ref="N8:N9"/>
    <mergeCell ref="A8:A9"/>
    <mergeCell ref="R8:R9"/>
    <mergeCell ref="B8:B9"/>
    <mergeCell ref="C8:C9"/>
    <mergeCell ref="D8:D9"/>
    <mergeCell ref="E8:E9"/>
    <mergeCell ref="F8:H8"/>
  </mergeCells>
  <printOptions horizontalCentered="1"/>
  <pageMargins left="0.12" right="0.43" top="1.25984251968504" bottom="1.5354330708661399" header="0.27559055118110198" footer="0"/>
  <pageSetup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9" tint="0.39997558519241921"/>
  </sheetPr>
  <dimension ref="B2:I27"/>
  <sheetViews>
    <sheetView zoomScale="140" zoomScaleNormal="140" workbookViewId="0">
      <selection activeCell="D5" sqref="D5:F6"/>
    </sheetView>
  </sheetViews>
  <sheetFormatPr baseColWidth="10" defaultRowHeight="12.75" x14ac:dyDescent="0.2"/>
  <cols>
    <col min="1" max="1" width="0.85546875" style="35" customWidth="1"/>
    <col min="2" max="2" width="20.42578125" style="35" customWidth="1"/>
    <col min="3" max="3" width="15.42578125" style="35" customWidth="1"/>
    <col min="4" max="4" width="14.42578125" style="35" customWidth="1"/>
    <col min="5" max="5" width="16.85546875" style="35" customWidth="1"/>
    <col min="6" max="6" width="15.7109375" style="35" customWidth="1"/>
    <col min="7" max="7" width="14.42578125" style="35" customWidth="1"/>
    <col min="8" max="8" width="12" style="35" customWidth="1"/>
    <col min="9" max="9" width="13.5703125" style="35" customWidth="1"/>
    <col min="10" max="256" width="11.42578125" style="35"/>
    <col min="257" max="257" width="0.85546875" style="35" customWidth="1"/>
    <col min="258" max="258" width="20.42578125" style="35" customWidth="1"/>
    <col min="259" max="259" width="15.42578125" style="35" customWidth="1"/>
    <col min="260" max="260" width="14.42578125" style="35" customWidth="1"/>
    <col min="261" max="261" width="14.85546875" style="35" customWidth="1"/>
    <col min="262" max="262" width="15.7109375" style="35" customWidth="1"/>
    <col min="263" max="512" width="11.42578125" style="35"/>
    <col min="513" max="513" width="0.85546875" style="35" customWidth="1"/>
    <col min="514" max="514" width="20.42578125" style="35" customWidth="1"/>
    <col min="515" max="515" width="15.42578125" style="35" customWidth="1"/>
    <col min="516" max="516" width="14.42578125" style="35" customWidth="1"/>
    <col min="517" max="517" width="14.85546875" style="35" customWidth="1"/>
    <col min="518" max="518" width="15.7109375" style="35" customWidth="1"/>
    <col min="519" max="768" width="11.42578125" style="35"/>
    <col min="769" max="769" width="0.85546875" style="35" customWidth="1"/>
    <col min="770" max="770" width="20.42578125" style="35" customWidth="1"/>
    <col min="771" max="771" width="15.42578125" style="35" customWidth="1"/>
    <col min="772" max="772" width="14.42578125" style="35" customWidth="1"/>
    <col min="773" max="773" width="14.85546875" style="35" customWidth="1"/>
    <col min="774" max="774" width="15.7109375" style="35" customWidth="1"/>
    <col min="775" max="1024" width="11.42578125" style="35"/>
    <col min="1025" max="1025" width="0.85546875" style="35" customWidth="1"/>
    <col min="1026" max="1026" width="20.42578125" style="35" customWidth="1"/>
    <col min="1027" max="1027" width="15.42578125" style="35" customWidth="1"/>
    <col min="1028" max="1028" width="14.42578125" style="35" customWidth="1"/>
    <col min="1029" max="1029" width="14.85546875" style="35" customWidth="1"/>
    <col min="1030" max="1030" width="15.7109375" style="35" customWidth="1"/>
    <col min="1031" max="1280" width="11.42578125" style="35"/>
    <col min="1281" max="1281" width="0.85546875" style="35" customWidth="1"/>
    <col min="1282" max="1282" width="20.42578125" style="35" customWidth="1"/>
    <col min="1283" max="1283" width="15.42578125" style="35" customWidth="1"/>
    <col min="1284" max="1284" width="14.42578125" style="35" customWidth="1"/>
    <col min="1285" max="1285" width="14.85546875" style="35" customWidth="1"/>
    <col min="1286" max="1286" width="15.7109375" style="35" customWidth="1"/>
    <col min="1287" max="1536" width="11.42578125" style="35"/>
    <col min="1537" max="1537" width="0.85546875" style="35" customWidth="1"/>
    <col min="1538" max="1538" width="20.42578125" style="35" customWidth="1"/>
    <col min="1539" max="1539" width="15.42578125" style="35" customWidth="1"/>
    <col min="1540" max="1540" width="14.42578125" style="35" customWidth="1"/>
    <col min="1541" max="1541" width="14.85546875" style="35" customWidth="1"/>
    <col min="1542" max="1542" width="15.7109375" style="35" customWidth="1"/>
    <col min="1543" max="1792" width="11.42578125" style="35"/>
    <col min="1793" max="1793" width="0.85546875" style="35" customWidth="1"/>
    <col min="1794" max="1794" width="20.42578125" style="35" customWidth="1"/>
    <col min="1795" max="1795" width="15.42578125" style="35" customWidth="1"/>
    <col min="1796" max="1796" width="14.42578125" style="35" customWidth="1"/>
    <col min="1797" max="1797" width="14.85546875" style="35" customWidth="1"/>
    <col min="1798" max="1798" width="15.7109375" style="35" customWidth="1"/>
    <col min="1799" max="2048" width="11.42578125" style="35"/>
    <col min="2049" max="2049" width="0.85546875" style="35" customWidth="1"/>
    <col min="2050" max="2050" width="20.42578125" style="35" customWidth="1"/>
    <col min="2051" max="2051" width="15.42578125" style="35" customWidth="1"/>
    <col min="2052" max="2052" width="14.42578125" style="35" customWidth="1"/>
    <col min="2053" max="2053" width="14.85546875" style="35" customWidth="1"/>
    <col min="2054" max="2054" width="15.7109375" style="35" customWidth="1"/>
    <col min="2055" max="2304" width="11.42578125" style="35"/>
    <col min="2305" max="2305" width="0.85546875" style="35" customWidth="1"/>
    <col min="2306" max="2306" width="20.42578125" style="35" customWidth="1"/>
    <col min="2307" max="2307" width="15.42578125" style="35" customWidth="1"/>
    <col min="2308" max="2308" width="14.42578125" style="35" customWidth="1"/>
    <col min="2309" max="2309" width="14.85546875" style="35" customWidth="1"/>
    <col min="2310" max="2310" width="15.7109375" style="35" customWidth="1"/>
    <col min="2311" max="2560" width="11.42578125" style="35"/>
    <col min="2561" max="2561" width="0.85546875" style="35" customWidth="1"/>
    <col min="2562" max="2562" width="20.42578125" style="35" customWidth="1"/>
    <col min="2563" max="2563" width="15.42578125" style="35" customWidth="1"/>
    <col min="2564" max="2564" width="14.42578125" style="35" customWidth="1"/>
    <col min="2565" max="2565" width="14.85546875" style="35" customWidth="1"/>
    <col min="2566" max="2566" width="15.7109375" style="35" customWidth="1"/>
    <col min="2567" max="2816" width="11.42578125" style="35"/>
    <col min="2817" max="2817" width="0.85546875" style="35" customWidth="1"/>
    <col min="2818" max="2818" width="20.42578125" style="35" customWidth="1"/>
    <col min="2819" max="2819" width="15.42578125" style="35" customWidth="1"/>
    <col min="2820" max="2820" width="14.42578125" style="35" customWidth="1"/>
    <col min="2821" max="2821" width="14.85546875" style="35" customWidth="1"/>
    <col min="2822" max="2822" width="15.7109375" style="35" customWidth="1"/>
    <col min="2823" max="3072" width="11.42578125" style="35"/>
    <col min="3073" max="3073" width="0.85546875" style="35" customWidth="1"/>
    <col min="3074" max="3074" width="20.42578125" style="35" customWidth="1"/>
    <col min="3075" max="3075" width="15.42578125" style="35" customWidth="1"/>
    <col min="3076" max="3076" width="14.42578125" style="35" customWidth="1"/>
    <col min="3077" max="3077" width="14.85546875" style="35" customWidth="1"/>
    <col min="3078" max="3078" width="15.7109375" style="35" customWidth="1"/>
    <col min="3079" max="3328" width="11.42578125" style="35"/>
    <col min="3329" max="3329" width="0.85546875" style="35" customWidth="1"/>
    <col min="3330" max="3330" width="20.42578125" style="35" customWidth="1"/>
    <col min="3331" max="3331" width="15.42578125" style="35" customWidth="1"/>
    <col min="3332" max="3332" width="14.42578125" style="35" customWidth="1"/>
    <col min="3333" max="3333" width="14.85546875" style="35" customWidth="1"/>
    <col min="3334" max="3334" width="15.7109375" style="35" customWidth="1"/>
    <col min="3335" max="3584" width="11.42578125" style="35"/>
    <col min="3585" max="3585" width="0.85546875" style="35" customWidth="1"/>
    <col min="3586" max="3586" width="20.42578125" style="35" customWidth="1"/>
    <col min="3587" max="3587" width="15.42578125" style="35" customWidth="1"/>
    <col min="3588" max="3588" width="14.42578125" style="35" customWidth="1"/>
    <col min="3589" max="3589" width="14.85546875" style="35" customWidth="1"/>
    <col min="3590" max="3590" width="15.7109375" style="35" customWidth="1"/>
    <col min="3591" max="3840" width="11.42578125" style="35"/>
    <col min="3841" max="3841" width="0.85546875" style="35" customWidth="1"/>
    <col min="3842" max="3842" width="20.42578125" style="35" customWidth="1"/>
    <col min="3843" max="3843" width="15.42578125" style="35" customWidth="1"/>
    <col min="3844" max="3844" width="14.42578125" style="35" customWidth="1"/>
    <col min="3845" max="3845" width="14.85546875" style="35" customWidth="1"/>
    <col min="3846" max="3846" width="15.7109375" style="35" customWidth="1"/>
    <col min="3847" max="4096" width="11.42578125" style="35"/>
    <col min="4097" max="4097" width="0.85546875" style="35" customWidth="1"/>
    <col min="4098" max="4098" width="20.42578125" style="35" customWidth="1"/>
    <col min="4099" max="4099" width="15.42578125" style="35" customWidth="1"/>
    <col min="4100" max="4100" width="14.42578125" style="35" customWidth="1"/>
    <col min="4101" max="4101" width="14.85546875" style="35" customWidth="1"/>
    <col min="4102" max="4102" width="15.7109375" style="35" customWidth="1"/>
    <col min="4103" max="4352" width="11.42578125" style="35"/>
    <col min="4353" max="4353" width="0.85546875" style="35" customWidth="1"/>
    <col min="4354" max="4354" width="20.42578125" style="35" customWidth="1"/>
    <col min="4355" max="4355" width="15.42578125" style="35" customWidth="1"/>
    <col min="4356" max="4356" width="14.42578125" style="35" customWidth="1"/>
    <col min="4357" max="4357" width="14.85546875" style="35" customWidth="1"/>
    <col min="4358" max="4358" width="15.7109375" style="35" customWidth="1"/>
    <col min="4359" max="4608" width="11.42578125" style="35"/>
    <col min="4609" max="4609" width="0.85546875" style="35" customWidth="1"/>
    <col min="4610" max="4610" width="20.42578125" style="35" customWidth="1"/>
    <col min="4611" max="4611" width="15.42578125" style="35" customWidth="1"/>
    <col min="4612" max="4612" width="14.42578125" style="35" customWidth="1"/>
    <col min="4613" max="4613" width="14.85546875" style="35" customWidth="1"/>
    <col min="4614" max="4614" width="15.7109375" style="35" customWidth="1"/>
    <col min="4615" max="4864" width="11.42578125" style="35"/>
    <col min="4865" max="4865" width="0.85546875" style="35" customWidth="1"/>
    <col min="4866" max="4866" width="20.42578125" style="35" customWidth="1"/>
    <col min="4867" max="4867" width="15.42578125" style="35" customWidth="1"/>
    <col min="4868" max="4868" width="14.42578125" style="35" customWidth="1"/>
    <col min="4869" max="4869" width="14.85546875" style="35" customWidth="1"/>
    <col min="4870" max="4870" width="15.7109375" style="35" customWidth="1"/>
    <col min="4871" max="5120" width="11.42578125" style="35"/>
    <col min="5121" max="5121" width="0.85546875" style="35" customWidth="1"/>
    <col min="5122" max="5122" width="20.42578125" style="35" customWidth="1"/>
    <col min="5123" max="5123" width="15.42578125" style="35" customWidth="1"/>
    <col min="5124" max="5124" width="14.42578125" style="35" customWidth="1"/>
    <col min="5125" max="5125" width="14.85546875" style="35" customWidth="1"/>
    <col min="5126" max="5126" width="15.7109375" style="35" customWidth="1"/>
    <col min="5127" max="5376" width="11.42578125" style="35"/>
    <col min="5377" max="5377" width="0.85546875" style="35" customWidth="1"/>
    <col min="5378" max="5378" width="20.42578125" style="35" customWidth="1"/>
    <col min="5379" max="5379" width="15.42578125" style="35" customWidth="1"/>
    <col min="5380" max="5380" width="14.42578125" style="35" customWidth="1"/>
    <col min="5381" max="5381" width="14.85546875" style="35" customWidth="1"/>
    <col min="5382" max="5382" width="15.7109375" style="35" customWidth="1"/>
    <col min="5383" max="5632" width="11.42578125" style="35"/>
    <col min="5633" max="5633" width="0.85546875" style="35" customWidth="1"/>
    <col min="5634" max="5634" width="20.42578125" style="35" customWidth="1"/>
    <col min="5635" max="5635" width="15.42578125" style="35" customWidth="1"/>
    <col min="5636" max="5636" width="14.42578125" style="35" customWidth="1"/>
    <col min="5637" max="5637" width="14.85546875" style="35" customWidth="1"/>
    <col min="5638" max="5638" width="15.7109375" style="35" customWidth="1"/>
    <col min="5639" max="5888" width="11.42578125" style="35"/>
    <col min="5889" max="5889" width="0.85546875" style="35" customWidth="1"/>
    <col min="5890" max="5890" width="20.42578125" style="35" customWidth="1"/>
    <col min="5891" max="5891" width="15.42578125" style="35" customWidth="1"/>
    <col min="5892" max="5892" width="14.42578125" style="35" customWidth="1"/>
    <col min="5893" max="5893" width="14.85546875" style="35" customWidth="1"/>
    <col min="5894" max="5894" width="15.7109375" style="35" customWidth="1"/>
    <col min="5895" max="6144" width="11.42578125" style="35"/>
    <col min="6145" max="6145" width="0.85546875" style="35" customWidth="1"/>
    <col min="6146" max="6146" width="20.42578125" style="35" customWidth="1"/>
    <col min="6147" max="6147" width="15.42578125" style="35" customWidth="1"/>
    <col min="6148" max="6148" width="14.42578125" style="35" customWidth="1"/>
    <col min="6149" max="6149" width="14.85546875" style="35" customWidth="1"/>
    <col min="6150" max="6150" width="15.7109375" style="35" customWidth="1"/>
    <col min="6151" max="6400" width="11.42578125" style="35"/>
    <col min="6401" max="6401" width="0.85546875" style="35" customWidth="1"/>
    <col min="6402" max="6402" width="20.42578125" style="35" customWidth="1"/>
    <col min="6403" max="6403" width="15.42578125" style="35" customWidth="1"/>
    <col min="6404" max="6404" width="14.42578125" style="35" customWidth="1"/>
    <col min="6405" max="6405" width="14.85546875" style="35" customWidth="1"/>
    <col min="6406" max="6406" width="15.7109375" style="35" customWidth="1"/>
    <col min="6407" max="6656" width="11.42578125" style="35"/>
    <col min="6657" max="6657" width="0.85546875" style="35" customWidth="1"/>
    <col min="6658" max="6658" width="20.42578125" style="35" customWidth="1"/>
    <col min="6659" max="6659" width="15.42578125" style="35" customWidth="1"/>
    <col min="6660" max="6660" width="14.42578125" style="35" customWidth="1"/>
    <col min="6661" max="6661" width="14.85546875" style="35" customWidth="1"/>
    <col min="6662" max="6662" width="15.7109375" style="35" customWidth="1"/>
    <col min="6663" max="6912" width="11.42578125" style="35"/>
    <col min="6913" max="6913" width="0.85546875" style="35" customWidth="1"/>
    <col min="6914" max="6914" width="20.42578125" style="35" customWidth="1"/>
    <col min="6915" max="6915" width="15.42578125" style="35" customWidth="1"/>
    <col min="6916" max="6916" width="14.42578125" style="35" customWidth="1"/>
    <col min="6917" max="6917" width="14.85546875" style="35" customWidth="1"/>
    <col min="6918" max="6918" width="15.7109375" style="35" customWidth="1"/>
    <col min="6919" max="7168" width="11.42578125" style="35"/>
    <col min="7169" max="7169" width="0.85546875" style="35" customWidth="1"/>
    <col min="7170" max="7170" width="20.42578125" style="35" customWidth="1"/>
    <col min="7171" max="7171" width="15.42578125" style="35" customWidth="1"/>
    <col min="7172" max="7172" width="14.42578125" style="35" customWidth="1"/>
    <col min="7173" max="7173" width="14.85546875" style="35" customWidth="1"/>
    <col min="7174" max="7174" width="15.7109375" style="35" customWidth="1"/>
    <col min="7175" max="7424" width="11.42578125" style="35"/>
    <col min="7425" max="7425" width="0.85546875" style="35" customWidth="1"/>
    <col min="7426" max="7426" width="20.42578125" style="35" customWidth="1"/>
    <col min="7427" max="7427" width="15.42578125" style="35" customWidth="1"/>
    <col min="7428" max="7428" width="14.42578125" style="35" customWidth="1"/>
    <col min="7429" max="7429" width="14.85546875" style="35" customWidth="1"/>
    <col min="7430" max="7430" width="15.7109375" style="35" customWidth="1"/>
    <col min="7431" max="7680" width="11.42578125" style="35"/>
    <col min="7681" max="7681" width="0.85546875" style="35" customWidth="1"/>
    <col min="7682" max="7682" width="20.42578125" style="35" customWidth="1"/>
    <col min="7683" max="7683" width="15.42578125" style="35" customWidth="1"/>
    <col min="7684" max="7684" width="14.42578125" style="35" customWidth="1"/>
    <col min="7685" max="7685" width="14.85546875" style="35" customWidth="1"/>
    <col min="7686" max="7686" width="15.7109375" style="35" customWidth="1"/>
    <col min="7687" max="7936" width="11.42578125" style="35"/>
    <col min="7937" max="7937" width="0.85546875" style="35" customWidth="1"/>
    <col min="7938" max="7938" width="20.42578125" style="35" customWidth="1"/>
    <col min="7939" max="7939" width="15.42578125" style="35" customWidth="1"/>
    <col min="7940" max="7940" width="14.42578125" style="35" customWidth="1"/>
    <col min="7941" max="7941" width="14.85546875" style="35" customWidth="1"/>
    <col min="7942" max="7942" width="15.7109375" style="35" customWidth="1"/>
    <col min="7943" max="8192" width="11.42578125" style="35"/>
    <col min="8193" max="8193" width="0.85546875" style="35" customWidth="1"/>
    <col min="8194" max="8194" width="20.42578125" style="35" customWidth="1"/>
    <col min="8195" max="8195" width="15.42578125" style="35" customWidth="1"/>
    <col min="8196" max="8196" width="14.42578125" style="35" customWidth="1"/>
    <col min="8197" max="8197" width="14.85546875" style="35" customWidth="1"/>
    <col min="8198" max="8198" width="15.7109375" style="35" customWidth="1"/>
    <col min="8199" max="8448" width="11.42578125" style="35"/>
    <col min="8449" max="8449" width="0.85546875" style="35" customWidth="1"/>
    <col min="8450" max="8450" width="20.42578125" style="35" customWidth="1"/>
    <col min="8451" max="8451" width="15.42578125" style="35" customWidth="1"/>
    <col min="8452" max="8452" width="14.42578125" style="35" customWidth="1"/>
    <col min="8453" max="8453" width="14.85546875" style="35" customWidth="1"/>
    <col min="8454" max="8454" width="15.7109375" style="35" customWidth="1"/>
    <col min="8455" max="8704" width="11.42578125" style="35"/>
    <col min="8705" max="8705" width="0.85546875" style="35" customWidth="1"/>
    <col min="8706" max="8706" width="20.42578125" style="35" customWidth="1"/>
    <col min="8707" max="8707" width="15.42578125" style="35" customWidth="1"/>
    <col min="8708" max="8708" width="14.42578125" style="35" customWidth="1"/>
    <col min="8709" max="8709" width="14.85546875" style="35" customWidth="1"/>
    <col min="8710" max="8710" width="15.7109375" style="35" customWidth="1"/>
    <col min="8711" max="8960" width="11.42578125" style="35"/>
    <col min="8961" max="8961" width="0.85546875" style="35" customWidth="1"/>
    <col min="8962" max="8962" width="20.42578125" style="35" customWidth="1"/>
    <col min="8963" max="8963" width="15.42578125" style="35" customWidth="1"/>
    <col min="8964" max="8964" width="14.42578125" style="35" customWidth="1"/>
    <col min="8965" max="8965" width="14.85546875" style="35" customWidth="1"/>
    <col min="8966" max="8966" width="15.7109375" style="35" customWidth="1"/>
    <col min="8967" max="9216" width="11.42578125" style="35"/>
    <col min="9217" max="9217" width="0.85546875" style="35" customWidth="1"/>
    <col min="9218" max="9218" width="20.42578125" style="35" customWidth="1"/>
    <col min="9219" max="9219" width="15.42578125" style="35" customWidth="1"/>
    <col min="9220" max="9220" width="14.42578125" style="35" customWidth="1"/>
    <col min="9221" max="9221" width="14.85546875" style="35" customWidth="1"/>
    <col min="9222" max="9222" width="15.7109375" style="35" customWidth="1"/>
    <col min="9223" max="9472" width="11.42578125" style="35"/>
    <col min="9473" max="9473" width="0.85546875" style="35" customWidth="1"/>
    <col min="9474" max="9474" width="20.42578125" style="35" customWidth="1"/>
    <col min="9475" max="9475" width="15.42578125" style="35" customWidth="1"/>
    <col min="9476" max="9476" width="14.42578125" style="35" customWidth="1"/>
    <col min="9477" max="9477" width="14.85546875" style="35" customWidth="1"/>
    <col min="9478" max="9478" width="15.7109375" style="35" customWidth="1"/>
    <col min="9479" max="9728" width="11.42578125" style="35"/>
    <col min="9729" max="9729" width="0.85546875" style="35" customWidth="1"/>
    <col min="9730" max="9730" width="20.42578125" style="35" customWidth="1"/>
    <col min="9731" max="9731" width="15.42578125" style="35" customWidth="1"/>
    <col min="9732" max="9732" width="14.42578125" style="35" customWidth="1"/>
    <col min="9733" max="9733" width="14.85546875" style="35" customWidth="1"/>
    <col min="9734" max="9734" width="15.7109375" style="35" customWidth="1"/>
    <col min="9735" max="9984" width="11.42578125" style="35"/>
    <col min="9985" max="9985" width="0.85546875" style="35" customWidth="1"/>
    <col min="9986" max="9986" width="20.42578125" style="35" customWidth="1"/>
    <col min="9987" max="9987" width="15.42578125" style="35" customWidth="1"/>
    <col min="9988" max="9988" width="14.42578125" style="35" customWidth="1"/>
    <col min="9989" max="9989" width="14.85546875" style="35" customWidth="1"/>
    <col min="9990" max="9990" width="15.7109375" style="35" customWidth="1"/>
    <col min="9991" max="10240" width="11.42578125" style="35"/>
    <col min="10241" max="10241" width="0.85546875" style="35" customWidth="1"/>
    <col min="10242" max="10242" width="20.42578125" style="35" customWidth="1"/>
    <col min="10243" max="10243" width="15.42578125" style="35" customWidth="1"/>
    <col min="10244" max="10244" width="14.42578125" style="35" customWidth="1"/>
    <col min="10245" max="10245" width="14.85546875" style="35" customWidth="1"/>
    <col min="10246" max="10246" width="15.7109375" style="35" customWidth="1"/>
    <col min="10247" max="10496" width="11.42578125" style="35"/>
    <col min="10497" max="10497" width="0.85546875" style="35" customWidth="1"/>
    <col min="10498" max="10498" width="20.42578125" style="35" customWidth="1"/>
    <col min="10499" max="10499" width="15.42578125" style="35" customWidth="1"/>
    <col min="10500" max="10500" width="14.42578125" style="35" customWidth="1"/>
    <col min="10501" max="10501" width="14.85546875" style="35" customWidth="1"/>
    <col min="10502" max="10502" width="15.7109375" style="35" customWidth="1"/>
    <col min="10503" max="10752" width="11.42578125" style="35"/>
    <col min="10753" max="10753" width="0.85546875" style="35" customWidth="1"/>
    <col min="10754" max="10754" width="20.42578125" style="35" customWidth="1"/>
    <col min="10755" max="10755" width="15.42578125" style="35" customWidth="1"/>
    <col min="10756" max="10756" width="14.42578125" style="35" customWidth="1"/>
    <col min="10757" max="10757" width="14.85546875" style="35" customWidth="1"/>
    <col min="10758" max="10758" width="15.7109375" style="35" customWidth="1"/>
    <col min="10759" max="11008" width="11.42578125" style="35"/>
    <col min="11009" max="11009" width="0.85546875" style="35" customWidth="1"/>
    <col min="11010" max="11010" width="20.42578125" style="35" customWidth="1"/>
    <col min="11011" max="11011" width="15.42578125" style="35" customWidth="1"/>
    <col min="11012" max="11012" width="14.42578125" style="35" customWidth="1"/>
    <col min="11013" max="11013" width="14.85546875" style="35" customWidth="1"/>
    <col min="11014" max="11014" width="15.7109375" style="35" customWidth="1"/>
    <col min="11015" max="11264" width="11.42578125" style="35"/>
    <col min="11265" max="11265" width="0.85546875" style="35" customWidth="1"/>
    <col min="11266" max="11266" width="20.42578125" style="35" customWidth="1"/>
    <col min="11267" max="11267" width="15.42578125" style="35" customWidth="1"/>
    <col min="11268" max="11268" width="14.42578125" style="35" customWidth="1"/>
    <col min="11269" max="11269" width="14.85546875" style="35" customWidth="1"/>
    <col min="11270" max="11270" width="15.7109375" style="35" customWidth="1"/>
    <col min="11271" max="11520" width="11.42578125" style="35"/>
    <col min="11521" max="11521" width="0.85546875" style="35" customWidth="1"/>
    <col min="11522" max="11522" width="20.42578125" style="35" customWidth="1"/>
    <col min="11523" max="11523" width="15.42578125" style="35" customWidth="1"/>
    <col min="11524" max="11524" width="14.42578125" style="35" customWidth="1"/>
    <col min="11525" max="11525" width="14.85546875" style="35" customWidth="1"/>
    <col min="11526" max="11526" width="15.7109375" style="35" customWidth="1"/>
    <col min="11527" max="11776" width="11.42578125" style="35"/>
    <col min="11777" max="11777" width="0.85546875" style="35" customWidth="1"/>
    <col min="11778" max="11778" width="20.42578125" style="35" customWidth="1"/>
    <col min="11779" max="11779" width="15.42578125" style="35" customWidth="1"/>
    <col min="11780" max="11780" width="14.42578125" style="35" customWidth="1"/>
    <col min="11781" max="11781" width="14.85546875" style="35" customWidth="1"/>
    <col min="11782" max="11782" width="15.7109375" style="35" customWidth="1"/>
    <col min="11783" max="12032" width="11.42578125" style="35"/>
    <col min="12033" max="12033" width="0.85546875" style="35" customWidth="1"/>
    <col min="12034" max="12034" width="20.42578125" style="35" customWidth="1"/>
    <col min="12035" max="12035" width="15.42578125" style="35" customWidth="1"/>
    <col min="12036" max="12036" width="14.42578125" style="35" customWidth="1"/>
    <col min="12037" max="12037" width="14.85546875" style="35" customWidth="1"/>
    <col min="12038" max="12038" width="15.7109375" style="35" customWidth="1"/>
    <col min="12039" max="12288" width="11.42578125" style="35"/>
    <col min="12289" max="12289" width="0.85546875" style="35" customWidth="1"/>
    <col min="12290" max="12290" width="20.42578125" style="35" customWidth="1"/>
    <col min="12291" max="12291" width="15.42578125" style="35" customWidth="1"/>
    <col min="12292" max="12292" width="14.42578125" style="35" customWidth="1"/>
    <col min="12293" max="12293" width="14.85546875" style="35" customWidth="1"/>
    <col min="12294" max="12294" width="15.7109375" style="35" customWidth="1"/>
    <col min="12295" max="12544" width="11.42578125" style="35"/>
    <col min="12545" max="12545" width="0.85546875" style="35" customWidth="1"/>
    <col min="12546" max="12546" width="20.42578125" style="35" customWidth="1"/>
    <col min="12547" max="12547" width="15.42578125" style="35" customWidth="1"/>
    <col min="12548" max="12548" width="14.42578125" style="35" customWidth="1"/>
    <col min="12549" max="12549" width="14.85546875" style="35" customWidth="1"/>
    <col min="12550" max="12550" width="15.7109375" style="35" customWidth="1"/>
    <col min="12551" max="12800" width="11.42578125" style="35"/>
    <col min="12801" max="12801" width="0.85546875" style="35" customWidth="1"/>
    <col min="12802" max="12802" width="20.42578125" style="35" customWidth="1"/>
    <col min="12803" max="12803" width="15.42578125" style="35" customWidth="1"/>
    <col min="12804" max="12804" width="14.42578125" style="35" customWidth="1"/>
    <col min="12805" max="12805" width="14.85546875" style="35" customWidth="1"/>
    <col min="12806" max="12806" width="15.7109375" style="35" customWidth="1"/>
    <col min="12807" max="13056" width="11.42578125" style="35"/>
    <col min="13057" max="13057" width="0.85546875" style="35" customWidth="1"/>
    <col min="13058" max="13058" width="20.42578125" style="35" customWidth="1"/>
    <col min="13059" max="13059" width="15.42578125" style="35" customWidth="1"/>
    <col min="13060" max="13060" width="14.42578125" style="35" customWidth="1"/>
    <col min="13061" max="13061" width="14.85546875" style="35" customWidth="1"/>
    <col min="13062" max="13062" width="15.7109375" style="35" customWidth="1"/>
    <col min="13063" max="13312" width="11.42578125" style="35"/>
    <col min="13313" max="13313" width="0.85546875" style="35" customWidth="1"/>
    <col min="13314" max="13314" width="20.42578125" style="35" customWidth="1"/>
    <col min="13315" max="13315" width="15.42578125" style="35" customWidth="1"/>
    <col min="13316" max="13316" width="14.42578125" style="35" customWidth="1"/>
    <col min="13317" max="13317" width="14.85546875" style="35" customWidth="1"/>
    <col min="13318" max="13318" width="15.7109375" style="35" customWidth="1"/>
    <col min="13319" max="13568" width="11.42578125" style="35"/>
    <col min="13569" max="13569" width="0.85546875" style="35" customWidth="1"/>
    <col min="13570" max="13570" width="20.42578125" style="35" customWidth="1"/>
    <col min="13571" max="13571" width="15.42578125" style="35" customWidth="1"/>
    <col min="13572" max="13572" width="14.42578125" style="35" customWidth="1"/>
    <col min="13573" max="13573" width="14.85546875" style="35" customWidth="1"/>
    <col min="13574" max="13574" width="15.7109375" style="35" customWidth="1"/>
    <col min="13575" max="13824" width="11.42578125" style="35"/>
    <col min="13825" max="13825" width="0.85546875" style="35" customWidth="1"/>
    <col min="13826" max="13826" width="20.42578125" style="35" customWidth="1"/>
    <col min="13827" max="13827" width="15.42578125" style="35" customWidth="1"/>
    <col min="13828" max="13828" width="14.42578125" style="35" customWidth="1"/>
    <col min="13829" max="13829" width="14.85546875" style="35" customWidth="1"/>
    <col min="13830" max="13830" width="15.7109375" style="35" customWidth="1"/>
    <col min="13831" max="14080" width="11.42578125" style="35"/>
    <col min="14081" max="14081" width="0.85546875" style="35" customWidth="1"/>
    <col min="14082" max="14082" width="20.42578125" style="35" customWidth="1"/>
    <col min="14083" max="14083" width="15.42578125" style="35" customWidth="1"/>
    <col min="14084" max="14084" width="14.42578125" style="35" customWidth="1"/>
    <col min="14085" max="14085" width="14.85546875" style="35" customWidth="1"/>
    <col min="14086" max="14086" width="15.7109375" style="35" customWidth="1"/>
    <col min="14087" max="14336" width="11.42578125" style="35"/>
    <col min="14337" max="14337" width="0.85546875" style="35" customWidth="1"/>
    <col min="14338" max="14338" width="20.42578125" style="35" customWidth="1"/>
    <col min="14339" max="14339" width="15.42578125" style="35" customWidth="1"/>
    <col min="14340" max="14340" width="14.42578125" style="35" customWidth="1"/>
    <col min="14341" max="14341" width="14.85546875" style="35" customWidth="1"/>
    <col min="14342" max="14342" width="15.7109375" style="35" customWidth="1"/>
    <col min="14343" max="14592" width="11.42578125" style="35"/>
    <col min="14593" max="14593" width="0.85546875" style="35" customWidth="1"/>
    <col min="14594" max="14594" width="20.42578125" style="35" customWidth="1"/>
    <col min="14595" max="14595" width="15.42578125" style="35" customWidth="1"/>
    <col min="14596" max="14596" width="14.42578125" style="35" customWidth="1"/>
    <col min="14597" max="14597" width="14.85546875" style="35" customWidth="1"/>
    <col min="14598" max="14598" width="15.7109375" style="35" customWidth="1"/>
    <col min="14599" max="14848" width="11.42578125" style="35"/>
    <col min="14849" max="14849" width="0.85546875" style="35" customWidth="1"/>
    <col min="14850" max="14850" width="20.42578125" style="35" customWidth="1"/>
    <col min="14851" max="14851" width="15.42578125" style="35" customWidth="1"/>
    <col min="14852" max="14852" width="14.42578125" style="35" customWidth="1"/>
    <col min="14853" max="14853" width="14.85546875" style="35" customWidth="1"/>
    <col min="14854" max="14854" width="15.7109375" style="35" customWidth="1"/>
    <col min="14855" max="15104" width="11.42578125" style="35"/>
    <col min="15105" max="15105" width="0.85546875" style="35" customWidth="1"/>
    <col min="15106" max="15106" width="20.42578125" style="35" customWidth="1"/>
    <col min="15107" max="15107" width="15.42578125" style="35" customWidth="1"/>
    <col min="15108" max="15108" width="14.42578125" style="35" customWidth="1"/>
    <col min="15109" max="15109" width="14.85546875" style="35" customWidth="1"/>
    <col min="15110" max="15110" width="15.7109375" style="35" customWidth="1"/>
    <col min="15111" max="15360" width="11.42578125" style="35"/>
    <col min="15361" max="15361" width="0.85546875" style="35" customWidth="1"/>
    <col min="15362" max="15362" width="20.42578125" style="35" customWidth="1"/>
    <col min="15363" max="15363" width="15.42578125" style="35" customWidth="1"/>
    <col min="15364" max="15364" width="14.42578125" style="35" customWidth="1"/>
    <col min="15365" max="15365" width="14.85546875" style="35" customWidth="1"/>
    <col min="15366" max="15366" width="15.7109375" style="35" customWidth="1"/>
    <col min="15367" max="15616" width="11.42578125" style="35"/>
    <col min="15617" max="15617" width="0.85546875" style="35" customWidth="1"/>
    <col min="15618" max="15618" width="20.42578125" style="35" customWidth="1"/>
    <col min="15619" max="15619" width="15.42578125" style="35" customWidth="1"/>
    <col min="15620" max="15620" width="14.42578125" style="35" customWidth="1"/>
    <col min="15621" max="15621" width="14.85546875" style="35" customWidth="1"/>
    <col min="15622" max="15622" width="15.7109375" style="35" customWidth="1"/>
    <col min="15623" max="15872" width="11.42578125" style="35"/>
    <col min="15873" max="15873" width="0.85546875" style="35" customWidth="1"/>
    <col min="15874" max="15874" width="20.42578125" style="35" customWidth="1"/>
    <col min="15875" max="15875" width="15.42578125" style="35" customWidth="1"/>
    <col min="15876" max="15876" width="14.42578125" style="35" customWidth="1"/>
    <col min="15877" max="15877" width="14.85546875" style="35" customWidth="1"/>
    <col min="15878" max="15878" width="15.7109375" style="35" customWidth="1"/>
    <col min="15879" max="16128" width="11.42578125" style="35"/>
    <col min="16129" max="16129" width="0.85546875" style="35" customWidth="1"/>
    <col min="16130" max="16130" width="20.42578125" style="35" customWidth="1"/>
    <col min="16131" max="16131" width="15.42578125" style="35" customWidth="1"/>
    <col min="16132" max="16132" width="14.42578125" style="35" customWidth="1"/>
    <col min="16133" max="16133" width="14.85546875" style="35" customWidth="1"/>
    <col min="16134" max="16134" width="15.7109375" style="35" customWidth="1"/>
    <col min="16135" max="16384" width="11.42578125" style="35"/>
  </cols>
  <sheetData>
    <row r="2" spans="2:9" ht="15.75" x14ac:dyDescent="0.25">
      <c r="C2" s="272" t="s">
        <v>22</v>
      </c>
      <c r="D2" s="272"/>
      <c r="E2" s="272"/>
      <c r="F2" s="272"/>
      <c r="G2" s="272"/>
      <c r="H2" s="200"/>
      <c r="I2" s="200"/>
    </row>
    <row r="3" spans="2:9" ht="15.75" x14ac:dyDescent="0.25">
      <c r="C3" s="202"/>
      <c r="D3" s="272" t="s">
        <v>43</v>
      </c>
      <c r="E3" s="272"/>
      <c r="F3" s="272"/>
      <c r="G3" s="200"/>
    </row>
    <row r="5" spans="2:9" ht="15.75" customHeight="1" x14ac:dyDescent="0.25">
      <c r="D5" s="273" t="s">
        <v>98</v>
      </c>
      <c r="E5" s="273"/>
      <c r="F5" s="273"/>
      <c r="G5" s="202"/>
    </row>
    <row r="6" spans="2:9" ht="15.75" x14ac:dyDescent="0.25">
      <c r="B6" s="202"/>
      <c r="D6" s="273"/>
      <c r="E6" s="273"/>
      <c r="F6" s="273"/>
      <c r="G6" s="202"/>
    </row>
    <row r="7" spans="2:9" ht="15.75" x14ac:dyDescent="0.25">
      <c r="C7" s="202"/>
      <c r="D7" s="202"/>
      <c r="E7" s="202" t="s">
        <v>104</v>
      </c>
      <c r="F7" s="202"/>
      <c r="G7" s="200"/>
    </row>
    <row r="8" spans="2:9" ht="15.75" x14ac:dyDescent="0.25">
      <c r="B8" s="200"/>
      <c r="C8" s="200"/>
      <c r="D8" s="200"/>
      <c r="E8" s="200"/>
      <c r="F8" s="200"/>
      <c r="G8" s="200"/>
    </row>
    <row r="9" spans="2:9" ht="18.75" x14ac:dyDescent="0.3">
      <c r="B9" s="44" t="s">
        <v>134</v>
      </c>
      <c r="C9" s="2" t="s">
        <v>135</v>
      </c>
    </row>
    <row r="10" spans="2:9" ht="13.5" thickBot="1" x14ac:dyDescent="0.25"/>
    <row r="11" spans="2:9" ht="33" customHeight="1" thickBot="1" x14ac:dyDescent="0.25">
      <c r="B11" s="274" t="s">
        <v>20</v>
      </c>
      <c r="C11" s="276" t="s">
        <v>44</v>
      </c>
      <c r="D11" s="277"/>
      <c r="E11" s="277"/>
      <c r="F11" s="277" t="s">
        <v>99</v>
      </c>
      <c r="G11" s="277"/>
      <c r="H11" s="270" t="s">
        <v>100</v>
      </c>
      <c r="I11" s="271"/>
    </row>
    <row r="12" spans="2:9" ht="30.75" thickBot="1" x14ac:dyDescent="0.25">
      <c r="B12" s="275"/>
      <c r="C12" s="203" t="s">
        <v>45</v>
      </c>
      <c r="D12" s="204" t="s">
        <v>46</v>
      </c>
      <c r="E12" s="205" t="s">
        <v>47</v>
      </c>
      <c r="F12" s="206" t="s">
        <v>101</v>
      </c>
      <c r="G12" s="206" t="s">
        <v>102</v>
      </c>
      <c r="H12" s="206" t="s">
        <v>101</v>
      </c>
      <c r="I12" s="206" t="s">
        <v>102</v>
      </c>
    </row>
    <row r="13" spans="2:9" s="213" customFormat="1" ht="15" x14ac:dyDescent="0.25">
      <c r="B13" s="230" t="s">
        <v>21</v>
      </c>
      <c r="C13" s="231">
        <v>39436.410000000003</v>
      </c>
      <c r="D13" s="232">
        <v>5103.26</v>
      </c>
      <c r="E13" s="232">
        <v>183851.71</v>
      </c>
      <c r="F13" s="232">
        <f t="shared" ref="F13:F18" si="0">C13+D13+E13</f>
        <v>228391.38</v>
      </c>
      <c r="G13" s="232">
        <f t="shared" ref="G13:G19" si="1">F13*0.92</f>
        <v>210120.06960000002</v>
      </c>
      <c r="H13" s="233">
        <v>153718.48000000001</v>
      </c>
      <c r="I13" s="234">
        <f t="shared" ref="I13:I18" si="2">H13*0.92</f>
        <v>141421.00160000002</v>
      </c>
    </row>
    <row r="14" spans="2:9" s="213" customFormat="1" ht="15" x14ac:dyDescent="0.25">
      <c r="B14" s="214" t="s">
        <v>5</v>
      </c>
      <c r="C14" s="215">
        <v>18136.37</v>
      </c>
      <c r="D14" s="215">
        <v>52949.71</v>
      </c>
      <c r="E14" s="215">
        <v>55641.86</v>
      </c>
      <c r="F14" s="215">
        <f t="shared" si="0"/>
        <v>126727.94</v>
      </c>
      <c r="G14" s="215">
        <f t="shared" si="1"/>
        <v>116589.70480000001</v>
      </c>
      <c r="H14" s="216">
        <v>142465</v>
      </c>
      <c r="I14" s="217">
        <f t="shared" si="2"/>
        <v>131067.8</v>
      </c>
    </row>
    <row r="15" spans="2:9" s="213" customFormat="1" ht="15" x14ac:dyDescent="0.25">
      <c r="B15" s="214" t="s">
        <v>6</v>
      </c>
      <c r="C15" s="215">
        <v>10510.87</v>
      </c>
      <c r="D15" s="215">
        <v>1657.61</v>
      </c>
      <c r="E15" s="215">
        <v>40706.519999999997</v>
      </c>
      <c r="F15" s="215">
        <f t="shared" si="0"/>
        <v>52875</v>
      </c>
      <c r="G15" s="212">
        <f t="shared" si="1"/>
        <v>48645</v>
      </c>
      <c r="H15" s="218">
        <v>155315.22</v>
      </c>
      <c r="I15" s="217">
        <f t="shared" si="2"/>
        <v>142890.0024</v>
      </c>
    </row>
    <row r="16" spans="2:9" s="253" customFormat="1" ht="15" x14ac:dyDescent="0.25">
      <c r="B16" s="250" t="s">
        <v>8</v>
      </c>
      <c r="C16" s="18">
        <f>693.91+14055.92</f>
        <v>14749.83</v>
      </c>
      <c r="D16" s="18">
        <v>22209.02</v>
      </c>
      <c r="E16" s="18">
        <v>62664.3</v>
      </c>
      <c r="F16" s="18">
        <f t="shared" si="0"/>
        <v>99623.15</v>
      </c>
      <c r="G16" s="18">
        <f t="shared" si="1"/>
        <v>91653.297999999995</v>
      </c>
      <c r="H16" s="251">
        <v>118093.478</v>
      </c>
      <c r="I16" s="252">
        <f t="shared" si="2"/>
        <v>108645.99976000001</v>
      </c>
    </row>
    <row r="17" spans="2:9" s="213" customFormat="1" ht="15" x14ac:dyDescent="0.25">
      <c r="B17" s="214" t="s">
        <v>10</v>
      </c>
      <c r="C17" s="215">
        <v>2420</v>
      </c>
      <c r="D17" s="215">
        <v>15975</v>
      </c>
      <c r="E17" s="215">
        <v>40145</v>
      </c>
      <c r="F17" s="215">
        <f t="shared" si="0"/>
        <v>58540</v>
      </c>
      <c r="G17" s="212">
        <f t="shared" si="1"/>
        <v>53856.800000000003</v>
      </c>
      <c r="H17" s="216">
        <v>59416.3</v>
      </c>
      <c r="I17" s="217">
        <f t="shared" si="2"/>
        <v>54662.996000000006</v>
      </c>
    </row>
    <row r="18" spans="2:9" s="213" customFormat="1" ht="15" x14ac:dyDescent="0.25">
      <c r="B18" s="214" t="s">
        <v>9</v>
      </c>
      <c r="C18" s="215">
        <v>8909.89</v>
      </c>
      <c r="D18" s="215">
        <v>1730</v>
      </c>
      <c r="E18" s="215">
        <v>20930.400000000001</v>
      </c>
      <c r="F18" s="215">
        <f t="shared" si="0"/>
        <v>31570.29</v>
      </c>
      <c r="G18" s="215">
        <f t="shared" si="1"/>
        <v>29044.666800000003</v>
      </c>
      <c r="H18" s="216">
        <v>5773</v>
      </c>
      <c r="I18" s="217">
        <f t="shared" si="2"/>
        <v>5311.16</v>
      </c>
    </row>
    <row r="19" spans="2:9" ht="15.75" thickBot="1" x14ac:dyDescent="0.3">
      <c r="B19" s="207" t="s">
        <v>4</v>
      </c>
      <c r="C19" s="208">
        <f>SUM(C13:C18)</f>
        <v>94163.37</v>
      </c>
      <c r="D19" s="208">
        <f>SUM(D13:D18)</f>
        <v>99624.6</v>
      </c>
      <c r="E19" s="208">
        <f>SUM(E13:E18)</f>
        <v>403939.79000000004</v>
      </c>
      <c r="F19" s="208">
        <f>SUM(F13:F18)</f>
        <v>597727.76</v>
      </c>
      <c r="G19" s="209">
        <f t="shared" si="1"/>
        <v>549909.5392</v>
      </c>
      <c r="H19" s="210">
        <f>SUM(H13:H18)</f>
        <v>634781.478</v>
      </c>
      <c r="I19" s="211">
        <f>SUM(I13:I18)</f>
        <v>583998.95976000011</v>
      </c>
    </row>
    <row r="21" spans="2:9" x14ac:dyDescent="0.2">
      <c r="B21" s="199"/>
    </row>
    <row r="22" spans="2:9" ht="15.75" x14ac:dyDescent="0.25">
      <c r="B22" s="199"/>
      <c r="C22" s="46"/>
      <c r="D22" s="47"/>
    </row>
    <row r="23" spans="2:9" ht="15.75" x14ac:dyDescent="0.25">
      <c r="B23" s="199"/>
      <c r="C23" s="1"/>
      <c r="D23" s="1"/>
      <c r="H23" s="254"/>
    </row>
    <row r="24" spans="2:9" ht="15.75" x14ac:dyDescent="0.25">
      <c r="C24" s="46"/>
      <c r="D24" s="1"/>
    </row>
    <row r="25" spans="2:9" ht="15.75" x14ac:dyDescent="0.25">
      <c r="D25" s="1"/>
      <c r="E25" s="1"/>
    </row>
    <row r="26" spans="2:9" ht="15.75" x14ac:dyDescent="0.25">
      <c r="D26" s="1"/>
      <c r="E26" s="1"/>
    </row>
    <row r="27" spans="2:9" ht="15.75" x14ac:dyDescent="0.25">
      <c r="D27" s="1"/>
      <c r="E27" s="1"/>
    </row>
  </sheetData>
  <sheetProtection password="CF11" sheet="1" objects="1" scenarios="1"/>
  <mergeCells count="7">
    <mergeCell ref="H11:I11"/>
    <mergeCell ref="C2:G2"/>
    <mergeCell ref="D3:F3"/>
    <mergeCell ref="D5:F6"/>
    <mergeCell ref="B11:B12"/>
    <mergeCell ref="C11:E11"/>
    <mergeCell ref="F11:G1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8" tint="0.39997558519241921"/>
    <pageSetUpPr fitToPage="1"/>
  </sheetPr>
  <dimension ref="A1:AD73"/>
  <sheetViews>
    <sheetView topLeftCell="B1" zoomScale="150" zoomScaleNormal="150" workbookViewId="0">
      <selection activeCell="B9" sqref="B9"/>
    </sheetView>
  </sheetViews>
  <sheetFormatPr baseColWidth="10" defaultRowHeight="12.75" x14ac:dyDescent="0.2"/>
  <cols>
    <col min="1" max="1" width="0.7109375" style="54" hidden="1" customWidth="1"/>
    <col min="2" max="2" width="13.140625" style="54" customWidth="1"/>
    <col min="3" max="3" width="9.42578125" style="54" customWidth="1"/>
    <col min="4" max="4" width="11.42578125" style="54" customWidth="1"/>
    <col min="5" max="7" width="12.140625" style="54" customWidth="1"/>
    <col min="8" max="8" width="12.7109375" style="54" bestFit="1" customWidth="1"/>
    <col min="9" max="9" width="11.5703125" style="54" customWidth="1"/>
    <col min="10" max="10" width="11.42578125" style="54"/>
    <col min="11" max="11" width="11" style="54" customWidth="1"/>
    <col min="12" max="12" width="12.28515625" style="247" customWidth="1"/>
    <col min="13" max="13" width="11.5703125" style="54" customWidth="1"/>
    <col min="14" max="14" width="7.85546875" style="54" customWidth="1"/>
    <col min="15" max="15" width="8.140625" style="54" customWidth="1"/>
    <col min="16" max="16" width="8.42578125" style="54" customWidth="1"/>
    <col min="17" max="17" width="10.5703125" style="54" customWidth="1"/>
    <col min="18" max="18" width="9.140625" style="54" bestFit="1" customWidth="1"/>
    <col min="19" max="19" width="12.7109375" style="54" bestFit="1" customWidth="1"/>
    <col min="20" max="20" width="7.7109375" style="54" customWidth="1"/>
    <col min="21" max="21" width="7.85546875" style="54" customWidth="1"/>
    <col min="22" max="22" width="9.28515625" style="54" customWidth="1"/>
    <col min="23" max="23" width="8.42578125" style="54" customWidth="1"/>
    <col min="24" max="24" width="7.28515625" style="54" customWidth="1"/>
    <col min="25" max="25" width="7.5703125" style="54" customWidth="1"/>
    <col min="26" max="26" width="9.7109375" style="54" customWidth="1"/>
    <col min="27" max="27" width="8.85546875" style="54" customWidth="1"/>
    <col min="28" max="256" width="11.42578125" style="54"/>
    <col min="257" max="257" width="0" style="54" hidden="1" customWidth="1"/>
    <col min="258" max="258" width="13.140625" style="54" customWidth="1"/>
    <col min="259" max="259" width="9.42578125" style="54" customWidth="1"/>
    <col min="260" max="260" width="11.42578125" style="54" customWidth="1"/>
    <col min="261" max="263" width="12.140625" style="54" customWidth="1"/>
    <col min="264" max="264" width="12.7109375" style="54" bestFit="1" customWidth="1"/>
    <col min="265" max="265" width="11.5703125" style="54" customWidth="1"/>
    <col min="266" max="266" width="11.42578125" style="54"/>
    <col min="267" max="267" width="11" style="54" customWidth="1"/>
    <col min="268" max="268" width="12.28515625" style="54" customWidth="1"/>
    <col min="269" max="269" width="11.5703125" style="54" customWidth="1"/>
    <col min="270" max="270" width="7.85546875" style="54" customWidth="1"/>
    <col min="271" max="271" width="8.140625" style="54" customWidth="1"/>
    <col min="272" max="272" width="8.42578125" style="54" customWidth="1"/>
    <col min="273" max="273" width="10.5703125" style="54" customWidth="1"/>
    <col min="274" max="274" width="9.140625" style="54" bestFit="1" customWidth="1"/>
    <col min="275" max="275" width="12.7109375" style="54" bestFit="1" customWidth="1"/>
    <col min="276" max="276" width="7.7109375" style="54" customWidth="1"/>
    <col min="277" max="277" width="7.85546875" style="54" customWidth="1"/>
    <col min="278" max="278" width="9.28515625" style="54" customWidth="1"/>
    <col min="279" max="279" width="8.42578125" style="54" customWidth="1"/>
    <col min="280" max="280" width="7.28515625" style="54" customWidth="1"/>
    <col min="281" max="281" width="7.5703125" style="54" customWidth="1"/>
    <col min="282" max="282" width="9.7109375" style="54" customWidth="1"/>
    <col min="283" max="283" width="8.85546875" style="54" customWidth="1"/>
    <col min="284" max="512" width="11.42578125" style="54"/>
    <col min="513" max="513" width="0" style="54" hidden="1" customWidth="1"/>
    <col min="514" max="514" width="13.140625" style="54" customWidth="1"/>
    <col min="515" max="515" width="9.42578125" style="54" customWidth="1"/>
    <col min="516" max="516" width="11.42578125" style="54" customWidth="1"/>
    <col min="517" max="519" width="12.140625" style="54" customWidth="1"/>
    <col min="520" max="520" width="12.7109375" style="54" bestFit="1" customWidth="1"/>
    <col min="521" max="521" width="11.5703125" style="54" customWidth="1"/>
    <col min="522" max="522" width="11.42578125" style="54"/>
    <col min="523" max="523" width="11" style="54" customWidth="1"/>
    <col min="524" max="524" width="12.28515625" style="54" customWidth="1"/>
    <col min="525" max="525" width="11.5703125" style="54" customWidth="1"/>
    <col min="526" max="526" width="7.85546875" style="54" customWidth="1"/>
    <col min="527" max="527" width="8.140625" style="54" customWidth="1"/>
    <col min="528" max="528" width="8.42578125" style="54" customWidth="1"/>
    <col min="529" max="529" width="10.5703125" style="54" customWidth="1"/>
    <col min="530" max="530" width="9.140625" style="54" bestFit="1" customWidth="1"/>
    <col min="531" max="531" width="12.7109375" style="54" bestFit="1" customWidth="1"/>
    <col min="532" max="532" width="7.7109375" style="54" customWidth="1"/>
    <col min="533" max="533" width="7.85546875" style="54" customWidth="1"/>
    <col min="534" max="534" width="9.28515625" style="54" customWidth="1"/>
    <col min="535" max="535" width="8.42578125" style="54" customWidth="1"/>
    <col min="536" max="536" width="7.28515625" style="54" customWidth="1"/>
    <col min="537" max="537" width="7.5703125" style="54" customWidth="1"/>
    <col min="538" max="538" width="9.7109375" style="54" customWidth="1"/>
    <col min="539" max="539" width="8.85546875" style="54" customWidth="1"/>
    <col min="540" max="768" width="11.42578125" style="54"/>
    <col min="769" max="769" width="0" style="54" hidden="1" customWidth="1"/>
    <col min="770" max="770" width="13.140625" style="54" customWidth="1"/>
    <col min="771" max="771" width="9.42578125" style="54" customWidth="1"/>
    <col min="772" max="772" width="11.42578125" style="54" customWidth="1"/>
    <col min="773" max="775" width="12.140625" style="54" customWidth="1"/>
    <col min="776" max="776" width="12.7109375" style="54" bestFit="1" customWidth="1"/>
    <col min="777" max="777" width="11.5703125" style="54" customWidth="1"/>
    <col min="778" max="778" width="11.42578125" style="54"/>
    <col min="779" max="779" width="11" style="54" customWidth="1"/>
    <col min="780" max="780" width="12.28515625" style="54" customWidth="1"/>
    <col min="781" max="781" width="11.5703125" style="54" customWidth="1"/>
    <col min="782" max="782" width="7.85546875" style="54" customWidth="1"/>
    <col min="783" max="783" width="8.140625" style="54" customWidth="1"/>
    <col min="784" max="784" width="8.42578125" style="54" customWidth="1"/>
    <col min="785" max="785" width="10.5703125" style="54" customWidth="1"/>
    <col min="786" max="786" width="9.140625" style="54" bestFit="1" customWidth="1"/>
    <col min="787" max="787" width="12.7109375" style="54" bestFit="1" customWidth="1"/>
    <col min="788" max="788" width="7.7109375" style="54" customWidth="1"/>
    <col min="789" max="789" width="7.85546875" style="54" customWidth="1"/>
    <col min="790" max="790" width="9.28515625" style="54" customWidth="1"/>
    <col min="791" max="791" width="8.42578125" style="54" customWidth="1"/>
    <col min="792" max="792" width="7.28515625" style="54" customWidth="1"/>
    <col min="793" max="793" width="7.5703125" style="54" customWidth="1"/>
    <col min="794" max="794" width="9.7109375" style="54" customWidth="1"/>
    <col min="795" max="795" width="8.85546875" style="54" customWidth="1"/>
    <col min="796" max="1024" width="11.42578125" style="54"/>
    <col min="1025" max="1025" width="0" style="54" hidden="1" customWidth="1"/>
    <col min="1026" max="1026" width="13.140625" style="54" customWidth="1"/>
    <col min="1027" max="1027" width="9.42578125" style="54" customWidth="1"/>
    <col min="1028" max="1028" width="11.42578125" style="54" customWidth="1"/>
    <col min="1029" max="1031" width="12.140625" style="54" customWidth="1"/>
    <col min="1032" max="1032" width="12.7109375" style="54" bestFit="1" customWidth="1"/>
    <col min="1033" max="1033" width="11.5703125" style="54" customWidth="1"/>
    <col min="1034" max="1034" width="11.42578125" style="54"/>
    <col min="1035" max="1035" width="11" style="54" customWidth="1"/>
    <col min="1036" max="1036" width="12.28515625" style="54" customWidth="1"/>
    <col min="1037" max="1037" width="11.5703125" style="54" customWidth="1"/>
    <col min="1038" max="1038" width="7.85546875" style="54" customWidth="1"/>
    <col min="1039" max="1039" width="8.140625" style="54" customWidth="1"/>
    <col min="1040" max="1040" width="8.42578125" style="54" customWidth="1"/>
    <col min="1041" max="1041" width="10.5703125" style="54" customWidth="1"/>
    <col min="1042" max="1042" width="9.140625" style="54" bestFit="1" customWidth="1"/>
    <col min="1043" max="1043" width="12.7109375" style="54" bestFit="1" customWidth="1"/>
    <col min="1044" max="1044" width="7.7109375" style="54" customWidth="1"/>
    <col min="1045" max="1045" width="7.85546875" style="54" customWidth="1"/>
    <col min="1046" max="1046" width="9.28515625" style="54" customWidth="1"/>
    <col min="1047" max="1047" width="8.42578125" style="54" customWidth="1"/>
    <col min="1048" max="1048" width="7.28515625" style="54" customWidth="1"/>
    <col min="1049" max="1049" width="7.5703125" style="54" customWidth="1"/>
    <col min="1050" max="1050" width="9.7109375" style="54" customWidth="1"/>
    <col min="1051" max="1051" width="8.85546875" style="54" customWidth="1"/>
    <col min="1052" max="1280" width="11.42578125" style="54"/>
    <col min="1281" max="1281" width="0" style="54" hidden="1" customWidth="1"/>
    <col min="1282" max="1282" width="13.140625" style="54" customWidth="1"/>
    <col min="1283" max="1283" width="9.42578125" style="54" customWidth="1"/>
    <col min="1284" max="1284" width="11.42578125" style="54" customWidth="1"/>
    <col min="1285" max="1287" width="12.140625" style="54" customWidth="1"/>
    <col min="1288" max="1288" width="12.7109375" style="54" bestFit="1" customWidth="1"/>
    <col min="1289" max="1289" width="11.5703125" style="54" customWidth="1"/>
    <col min="1290" max="1290" width="11.42578125" style="54"/>
    <col min="1291" max="1291" width="11" style="54" customWidth="1"/>
    <col min="1292" max="1292" width="12.28515625" style="54" customWidth="1"/>
    <col min="1293" max="1293" width="11.5703125" style="54" customWidth="1"/>
    <col min="1294" max="1294" width="7.85546875" style="54" customWidth="1"/>
    <col min="1295" max="1295" width="8.140625" style="54" customWidth="1"/>
    <col min="1296" max="1296" width="8.42578125" style="54" customWidth="1"/>
    <col min="1297" max="1297" width="10.5703125" style="54" customWidth="1"/>
    <col min="1298" max="1298" width="9.140625" style="54" bestFit="1" customWidth="1"/>
    <col min="1299" max="1299" width="12.7109375" style="54" bestFit="1" customWidth="1"/>
    <col min="1300" max="1300" width="7.7109375" style="54" customWidth="1"/>
    <col min="1301" max="1301" width="7.85546875" style="54" customWidth="1"/>
    <col min="1302" max="1302" width="9.28515625" style="54" customWidth="1"/>
    <col min="1303" max="1303" width="8.42578125" style="54" customWidth="1"/>
    <col min="1304" max="1304" width="7.28515625" style="54" customWidth="1"/>
    <col min="1305" max="1305" width="7.5703125" style="54" customWidth="1"/>
    <col min="1306" max="1306" width="9.7109375" style="54" customWidth="1"/>
    <col min="1307" max="1307" width="8.85546875" style="54" customWidth="1"/>
    <col min="1308" max="1536" width="11.42578125" style="54"/>
    <col min="1537" max="1537" width="0" style="54" hidden="1" customWidth="1"/>
    <col min="1538" max="1538" width="13.140625" style="54" customWidth="1"/>
    <col min="1539" max="1539" width="9.42578125" style="54" customWidth="1"/>
    <col min="1540" max="1540" width="11.42578125" style="54" customWidth="1"/>
    <col min="1541" max="1543" width="12.140625" style="54" customWidth="1"/>
    <col min="1544" max="1544" width="12.7109375" style="54" bestFit="1" customWidth="1"/>
    <col min="1545" max="1545" width="11.5703125" style="54" customWidth="1"/>
    <col min="1546" max="1546" width="11.42578125" style="54"/>
    <col min="1547" max="1547" width="11" style="54" customWidth="1"/>
    <col min="1548" max="1548" width="12.28515625" style="54" customWidth="1"/>
    <col min="1549" max="1549" width="11.5703125" style="54" customWidth="1"/>
    <col min="1550" max="1550" width="7.85546875" style="54" customWidth="1"/>
    <col min="1551" max="1551" width="8.140625" style="54" customWidth="1"/>
    <col min="1552" max="1552" width="8.42578125" style="54" customWidth="1"/>
    <col min="1553" max="1553" width="10.5703125" style="54" customWidth="1"/>
    <col min="1554" max="1554" width="9.140625" style="54" bestFit="1" customWidth="1"/>
    <col min="1555" max="1555" width="12.7109375" style="54" bestFit="1" customWidth="1"/>
    <col min="1556" max="1556" width="7.7109375" style="54" customWidth="1"/>
    <col min="1557" max="1557" width="7.85546875" style="54" customWidth="1"/>
    <col min="1558" max="1558" width="9.28515625" style="54" customWidth="1"/>
    <col min="1559" max="1559" width="8.42578125" style="54" customWidth="1"/>
    <col min="1560" max="1560" width="7.28515625" style="54" customWidth="1"/>
    <col min="1561" max="1561" width="7.5703125" style="54" customWidth="1"/>
    <col min="1562" max="1562" width="9.7109375" style="54" customWidth="1"/>
    <col min="1563" max="1563" width="8.85546875" style="54" customWidth="1"/>
    <col min="1564" max="1792" width="11.42578125" style="54"/>
    <col min="1793" max="1793" width="0" style="54" hidden="1" customWidth="1"/>
    <col min="1794" max="1794" width="13.140625" style="54" customWidth="1"/>
    <col min="1795" max="1795" width="9.42578125" style="54" customWidth="1"/>
    <col min="1796" max="1796" width="11.42578125" style="54" customWidth="1"/>
    <col min="1797" max="1799" width="12.140625" style="54" customWidth="1"/>
    <col min="1800" max="1800" width="12.7109375" style="54" bestFit="1" customWidth="1"/>
    <col min="1801" max="1801" width="11.5703125" style="54" customWidth="1"/>
    <col min="1802" max="1802" width="11.42578125" style="54"/>
    <col min="1803" max="1803" width="11" style="54" customWidth="1"/>
    <col min="1804" max="1804" width="12.28515625" style="54" customWidth="1"/>
    <col min="1805" max="1805" width="11.5703125" style="54" customWidth="1"/>
    <col min="1806" max="1806" width="7.85546875" style="54" customWidth="1"/>
    <col min="1807" max="1807" width="8.140625" style="54" customWidth="1"/>
    <col min="1808" max="1808" width="8.42578125" style="54" customWidth="1"/>
    <col min="1809" max="1809" width="10.5703125" style="54" customWidth="1"/>
    <col min="1810" max="1810" width="9.140625" style="54" bestFit="1" customWidth="1"/>
    <col min="1811" max="1811" width="12.7109375" style="54" bestFit="1" customWidth="1"/>
    <col min="1812" max="1812" width="7.7109375" style="54" customWidth="1"/>
    <col min="1813" max="1813" width="7.85546875" style="54" customWidth="1"/>
    <col min="1814" max="1814" width="9.28515625" style="54" customWidth="1"/>
    <col min="1815" max="1815" width="8.42578125" style="54" customWidth="1"/>
    <col min="1816" max="1816" width="7.28515625" style="54" customWidth="1"/>
    <col min="1817" max="1817" width="7.5703125" style="54" customWidth="1"/>
    <col min="1818" max="1818" width="9.7109375" style="54" customWidth="1"/>
    <col min="1819" max="1819" width="8.85546875" style="54" customWidth="1"/>
    <col min="1820" max="2048" width="11.42578125" style="54"/>
    <col min="2049" max="2049" width="0" style="54" hidden="1" customWidth="1"/>
    <col min="2050" max="2050" width="13.140625" style="54" customWidth="1"/>
    <col min="2051" max="2051" width="9.42578125" style="54" customWidth="1"/>
    <col min="2052" max="2052" width="11.42578125" style="54" customWidth="1"/>
    <col min="2053" max="2055" width="12.140625" style="54" customWidth="1"/>
    <col min="2056" max="2056" width="12.7109375" style="54" bestFit="1" customWidth="1"/>
    <col min="2057" max="2057" width="11.5703125" style="54" customWidth="1"/>
    <col min="2058" max="2058" width="11.42578125" style="54"/>
    <col min="2059" max="2059" width="11" style="54" customWidth="1"/>
    <col min="2060" max="2060" width="12.28515625" style="54" customWidth="1"/>
    <col min="2061" max="2061" width="11.5703125" style="54" customWidth="1"/>
    <col min="2062" max="2062" width="7.85546875" style="54" customWidth="1"/>
    <col min="2063" max="2063" width="8.140625" style="54" customWidth="1"/>
    <col min="2064" max="2064" width="8.42578125" style="54" customWidth="1"/>
    <col min="2065" max="2065" width="10.5703125" style="54" customWidth="1"/>
    <col min="2066" max="2066" width="9.140625" style="54" bestFit="1" customWidth="1"/>
    <col min="2067" max="2067" width="12.7109375" style="54" bestFit="1" customWidth="1"/>
    <col min="2068" max="2068" width="7.7109375" style="54" customWidth="1"/>
    <col min="2069" max="2069" width="7.85546875" style="54" customWidth="1"/>
    <col min="2070" max="2070" width="9.28515625" style="54" customWidth="1"/>
    <col min="2071" max="2071" width="8.42578125" style="54" customWidth="1"/>
    <col min="2072" max="2072" width="7.28515625" style="54" customWidth="1"/>
    <col min="2073" max="2073" width="7.5703125" style="54" customWidth="1"/>
    <col min="2074" max="2074" width="9.7109375" style="54" customWidth="1"/>
    <col min="2075" max="2075" width="8.85546875" style="54" customWidth="1"/>
    <col min="2076" max="2304" width="11.42578125" style="54"/>
    <col min="2305" max="2305" width="0" style="54" hidden="1" customWidth="1"/>
    <col min="2306" max="2306" width="13.140625" style="54" customWidth="1"/>
    <col min="2307" max="2307" width="9.42578125" style="54" customWidth="1"/>
    <col min="2308" max="2308" width="11.42578125" style="54" customWidth="1"/>
    <col min="2309" max="2311" width="12.140625" style="54" customWidth="1"/>
    <col min="2312" max="2312" width="12.7109375" style="54" bestFit="1" customWidth="1"/>
    <col min="2313" max="2313" width="11.5703125" style="54" customWidth="1"/>
    <col min="2314" max="2314" width="11.42578125" style="54"/>
    <col min="2315" max="2315" width="11" style="54" customWidth="1"/>
    <col min="2316" max="2316" width="12.28515625" style="54" customWidth="1"/>
    <col min="2317" max="2317" width="11.5703125" style="54" customWidth="1"/>
    <col min="2318" max="2318" width="7.85546875" style="54" customWidth="1"/>
    <col min="2319" max="2319" width="8.140625" style="54" customWidth="1"/>
    <col min="2320" max="2320" width="8.42578125" style="54" customWidth="1"/>
    <col min="2321" max="2321" width="10.5703125" style="54" customWidth="1"/>
    <col min="2322" max="2322" width="9.140625" style="54" bestFit="1" customWidth="1"/>
    <col min="2323" max="2323" width="12.7109375" style="54" bestFit="1" customWidth="1"/>
    <col min="2324" max="2324" width="7.7109375" style="54" customWidth="1"/>
    <col min="2325" max="2325" width="7.85546875" style="54" customWidth="1"/>
    <col min="2326" max="2326" width="9.28515625" style="54" customWidth="1"/>
    <col min="2327" max="2327" width="8.42578125" style="54" customWidth="1"/>
    <col min="2328" max="2328" width="7.28515625" style="54" customWidth="1"/>
    <col min="2329" max="2329" width="7.5703125" style="54" customWidth="1"/>
    <col min="2330" max="2330" width="9.7109375" style="54" customWidth="1"/>
    <col min="2331" max="2331" width="8.85546875" style="54" customWidth="1"/>
    <col min="2332" max="2560" width="11.42578125" style="54"/>
    <col min="2561" max="2561" width="0" style="54" hidden="1" customWidth="1"/>
    <col min="2562" max="2562" width="13.140625" style="54" customWidth="1"/>
    <col min="2563" max="2563" width="9.42578125" style="54" customWidth="1"/>
    <col min="2564" max="2564" width="11.42578125" style="54" customWidth="1"/>
    <col min="2565" max="2567" width="12.140625" style="54" customWidth="1"/>
    <col min="2568" max="2568" width="12.7109375" style="54" bestFit="1" customWidth="1"/>
    <col min="2569" max="2569" width="11.5703125" style="54" customWidth="1"/>
    <col min="2570" max="2570" width="11.42578125" style="54"/>
    <col min="2571" max="2571" width="11" style="54" customWidth="1"/>
    <col min="2572" max="2572" width="12.28515625" style="54" customWidth="1"/>
    <col min="2573" max="2573" width="11.5703125" style="54" customWidth="1"/>
    <col min="2574" max="2574" width="7.85546875" style="54" customWidth="1"/>
    <col min="2575" max="2575" width="8.140625" style="54" customWidth="1"/>
    <col min="2576" max="2576" width="8.42578125" style="54" customWidth="1"/>
    <col min="2577" max="2577" width="10.5703125" style="54" customWidth="1"/>
    <col min="2578" max="2578" width="9.140625" style="54" bestFit="1" customWidth="1"/>
    <col min="2579" max="2579" width="12.7109375" style="54" bestFit="1" customWidth="1"/>
    <col min="2580" max="2580" width="7.7109375" style="54" customWidth="1"/>
    <col min="2581" max="2581" width="7.85546875" style="54" customWidth="1"/>
    <col min="2582" max="2582" width="9.28515625" style="54" customWidth="1"/>
    <col min="2583" max="2583" width="8.42578125" style="54" customWidth="1"/>
    <col min="2584" max="2584" width="7.28515625" style="54" customWidth="1"/>
    <col min="2585" max="2585" width="7.5703125" style="54" customWidth="1"/>
    <col min="2586" max="2586" width="9.7109375" style="54" customWidth="1"/>
    <col min="2587" max="2587" width="8.85546875" style="54" customWidth="1"/>
    <col min="2588" max="2816" width="11.42578125" style="54"/>
    <col min="2817" max="2817" width="0" style="54" hidden="1" customWidth="1"/>
    <col min="2818" max="2818" width="13.140625" style="54" customWidth="1"/>
    <col min="2819" max="2819" width="9.42578125" style="54" customWidth="1"/>
    <col min="2820" max="2820" width="11.42578125" style="54" customWidth="1"/>
    <col min="2821" max="2823" width="12.140625" style="54" customWidth="1"/>
    <col min="2824" max="2824" width="12.7109375" style="54" bestFit="1" customWidth="1"/>
    <col min="2825" max="2825" width="11.5703125" style="54" customWidth="1"/>
    <col min="2826" max="2826" width="11.42578125" style="54"/>
    <col min="2827" max="2827" width="11" style="54" customWidth="1"/>
    <col min="2828" max="2828" width="12.28515625" style="54" customWidth="1"/>
    <col min="2829" max="2829" width="11.5703125" style="54" customWidth="1"/>
    <col min="2830" max="2830" width="7.85546875" style="54" customWidth="1"/>
    <col min="2831" max="2831" width="8.140625" style="54" customWidth="1"/>
    <col min="2832" max="2832" width="8.42578125" style="54" customWidth="1"/>
    <col min="2833" max="2833" width="10.5703125" style="54" customWidth="1"/>
    <col min="2834" max="2834" width="9.140625" style="54" bestFit="1" customWidth="1"/>
    <col min="2835" max="2835" width="12.7109375" style="54" bestFit="1" customWidth="1"/>
    <col min="2836" max="2836" width="7.7109375" style="54" customWidth="1"/>
    <col min="2837" max="2837" width="7.85546875" style="54" customWidth="1"/>
    <col min="2838" max="2838" width="9.28515625" style="54" customWidth="1"/>
    <col min="2839" max="2839" width="8.42578125" style="54" customWidth="1"/>
    <col min="2840" max="2840" width="7.28515625" style="54" customWidth="1"/>
    <col min="2841" max="2841" width="7.5703125" style="54" customWidth="1"/>
    <col min="2842" max="2842" width="9.7109375" style="54" customWidth="1"/>
    <col min="2843" max="2843" width="8.85546875" style="54" customWidth="1"/>
    <col min="2844" max="3072" width="11.42578125" style="54"/>
    <col min="3073" max="3073" width="0" style="54" hidden="1" customWidth="1"/>
    <col min="3074" max="3074" width="13.140625" style="54" customWidth="1"/>
    <col min="3075" max="3075" width="9.42578125" style="54" customWidth="1"/>
    <col min="3076" max="3076" width="11.42578125" style="54" customWidth="1"/>
    <col min="3077" max="3079" width="12.140625" style="54" customWidth="1"/>
    <col min="3080" max="3080" width="12.7109375" style="54" bestFit="1" customWidth="1"/>
    <col min="3081" max="3081" width="11.5703125" style="54" customWidth="1"/>
    <col min="3082" max="3082" width="11.42578125" style="54"/>
    <col min="3083" max="3083" width="11" style="54" customWidth="1"/>
    <col min="3084" max="3084" width="12.28515625" style="54" customWidth="1"/>
    <col min="3085" max="3085" width="11.5703125" style="54" customWidth="1"/>
    <col min="3086" max="3086" width="7.85546875" style="54" customWidth="1"/>
    <col min="3087" max="3087" width="8.140625" style="54" customWidth="1"/>
    <col min="3088" max="3088" width="8.42578125" style="54" customWidth="1"/>
    <col min="3089" max="3089" width="10.5703125" style="54" customWidth="1"/>
    <col min="3090" max="3090" width="9.140625" style="54" bestFit="1" customWidth="1"/>
    <col min="3091" max="3091" width="12.7109375" style="54" bestFit="1" customWidth="1"/>
    <col min="3092" max="3092" width="7.7109375" style="54" customWidth="1"/>
    <col min="3093" max="3093" width="7.85546875" style="54" customWidth="1"/>
    <col min="3094" max="3094" width="9.28515625" style="54" customWidth="1"/>
    <col min="3095" max="3095" width="8.42578125" style="54" customWidth="1"/>
    <col min="3096" max="3096" width="7.28515625" style="54" customWidth="1"/>
    <col min="3097" max="3097" width="7.5703125" style="54" customWidth="1"/>
    <col min="3098" max="3098" width="9.7109375" style="54" customWidth="1"/>
    <col min="3099" max="3099" width="8.85546875" style="54" customWidth="1"/>
    <col min="3100" max="3328" width="11.42578125" style="54"/>
    <col min="3329" max="3329" width="0" style="54" hidden="1" customWidth="1"/>
    <col min="3330" max="3330" width="13.140625" style="54" customWidth="1"/>
    <col min="3331" max="3331" width="9.42578125" style="54" customWidth="1"/>
    <col min="3332" max="3332" width="11.42578125" style="54" customWidth="1"/>
    <col min="3333" max="3335" width="12.140625" style="54" customWidth="1"/>
    <col min="3336" max="3336" width="12.7109375" style="54" bestFit="1" customWidth="1"/>
    <col min="3337" max="3337" width="11.5703125" style="54" customWidth="1"/>
    <col min="3338" max="3338" width="11.42578125" style="54"/>
    <col min="3339" max="3339" width="11" style="54" customWidth="1"/>
    <col min="3340" max="3340" width="12.28515625" style="54" customWidth="1"/>
    <col min="3341" max="3341" width="11.5703125" style="54" customWidth="1"/>
    <col min="3342" max="3342" width="7.85546875" style="54" customWidth="1"/>
    <col min="3343" max="3343" width="8.140625" style="54" customWidth="1"/>
    <col min="3344" max="3344" width="8.42578125" style="54" customWidth="1"/>
    <col min="3345" max="3345" width="10.5703125" style="54" customWidth="1"/>
    <col min="3346" max="3346" width="9.140625" style="54" bestFit="1" customWidth="1"/>
    <col min="3347" max="3347" width="12.7109375" style="54" bestFit="1" customWidth="1"/>
    <col min="3348" max="3348" width="7.7109375" style="54" customWidth="1"/>
    <col min="3349" max="3349" width="7.85546875" style="54" customWidth="1"/>
    <col min="3350" max="3350" width="9.28515625" style="54" customWidth="1"/>
    <col min="3351" max="3351" width="8.42578125" style="54" customWidth="1"/>
    <col min="3352" max="3352" width="7.28515625" style="54" customWidth="1"/>
    <col min="3353" max="3353" width="7.5703125" style="54" customWidth="1"/>
    <col min="3354" max="3354" width="9.7109375" style="54" customWidth="1"/>
    <col min="3355" max="3355" width="8.85546875" style="54" customWidth="1"/>
    <col min="3356" max="3584" width="11.42578125" style="54"/>
    <col min="3585" max="3585" width="0" style="54" hidden="1" customWidth="1"/>
    <col min="3586" max="3586" width="13.140625" style="54" customWidth="1"/>
    <col min="3587" max="3587" width="9.42578125" style="54" customWidth="1"/>
    <col min="3588" max="3588" width="11.42578125" style="54" customWidth="1"/>
    <col min="3589" max="3591" width="12.140625" style="54" customWidth="1"/>
    <col min="3592" max="3592" width="12.7109375" style="54" bestFit="1" customWidth="1"/>
    <col min="3593" max="3593" width="11.5703125" style="54" customWidth="1"/>
    <col min="3594" max="3594" width="11.42578125" style="54"/>
    <col min="3595" max="3595" width="11" style="54" customWidth="1"/>
    <col min="3596" max="3596" width="12.28515625" style="54" customWidth="1"/>
    <col min="3597" max="3597" width="11.5703125" style="54" customWidth="1"/>
    <col min="3598" max="3598" width="7.85546875" style="54" customWidth="1"/>
    <col min="3599" max="3599" width="8.140625" style="54" customWidth="1"/>
    <col min="3600" max="3600" width="8.42578125" style="54" customWidth="1"/>
    <col min="3601" max="3601" width="10.5703125" style="54" customWidth="1"/>
    <col min="3602" max="3602" width="9.140625" style="54" bestFit="1" customWidth="1"/>
    <col min="3603" max="3603" width="12.7109375" style="54" bestFit="1" customWidth="1"/>
    <col min="3604" max="3604" width="7.7109375" style="54" customWidth="1"/>
    <col min="3605" max="3605" width="7.85546875" style="54" customWidth="1"/>
    <col min="3606" max="3606" width="9.28515625" style="54" customWidth="1"/>
    <col min="3607" max="3607" width="8.42578125" style="54" customWidth="1"/>
    <col min="3608" max="3608" width="7.28515625" style="54" customWidth="1"/>
    <col min="3609" max="3609" width="7.5703125" style="54" customWidth="1"/>
    <col min="3610" max="3610" width="9.7109375" style="54" customWidth="1"/>
    <col min="3611" max="3611" width="8.85546875" style="54" customWidth="1"/>
    <col min="3612" max="3840" width="11.42578125" style="54"/>
    <col min="3841" max="3841" width="0" style="54" hidden="1" customWidth="1"/>
    <col min="3842" max="3842" width="13.140625" style="54" customWidth="1"/>
    <col min="3843" max="3843" width="9.42578125" style="54" customWidth="1"/>
    <col min="3844" max="3844" width="11.42578125" style="54" customWidth="1"/>
    <col min="3845" max="3847" width="12.140625" style="54" customWidth="1"/>
    <col min="3848" max="3848" width="12.7109375" style="54" bestFit="1" customWidth="1"/>
    <col min="3849" max="3849" width="11.5703125" style="54" customWidth="1"/>
    <col min="3850" max="3850" width="11.42578125" style="54"/>
    <col min="3851" max="3851" width="11" style="54" customWidth="1"/>
    <col min="3852" max="3852" width="12.28515625" style="54" customWidth="1"/>
    <col min="3853" max="3853" width="11.5703125" style="54" customWidth="1"/>
    <col min="3854" max="3854" width="7.85546875" style="54" customWidth="1"/>
    <col min="3855" max="3855" width="8.140625" style="54" customWidth="1"/>
    <col min="3856" max="3856" width="8.42578125" style="54" customWidth="1"/>
    <col min="3857" max="3857" width="10.5703125" style="54" customWidth="1"/>
    <col min="3858" max="3858" width="9.140625" style="54" bestFit="1" customWidth="1"/>
    <col min="3859" max="3859" width="12.7109375" style="54" bestFit="1" customWidth="1"/>
    <col min="3860" max="3860" width="7.7109375" style="54" customWidth="1"/>
    <col min="3861" max="3861" width="7.85546875" style="54" customWidth="1"/>
    <col min="3862" max="3862" width="9.28515625" style="54" customWidth="1"/>
    <col min="3863" max="3863" width="8.42578125" style="54" customWidth="1"/>
    <col min="3864" max="3864" width="7.28515625" style="54" customWidth="1"/>
    <col min="3865" max="3865" width="7.5703125" style="54" customWidth="1"/>
    <col min="3866" max="3866" width="9.7109375" style="54" customWidth="1"/>
    <col min="3867" max="3867" width="8.85546875" style="54" customWidth="1"/>
    <col min="3868" max="4096" width="11.42578125" style="54"/>
    <col min="4097" max="4097" width="0" style="54" hidden="1" customWidth="1"/>
    <col min="4098" max="4098" width="13.140625" style="54" customWidth="1"/>
    <col min="4099" max="4099" width="9.42578125" style="54" customWidth="1"/>
    <col min="4100" max="4100" width="11.42578125" style="54" customWidth="1"/>
    <col min="4101" max="4103" width="12.140625" style="54" customWidth="1"/>
    <col min="4104" max="4104" width="12.7109375" style="54" bestFit="1" customWidth="1"/>
    <col min="4105" max="4105" width="11.5703125" style="54" customWidth="1"/>
    <col min="4106" max="4106" width="11.42578125" style="54"/>
    <col min="4107" max="4107" width="11" style="54" customWidth="1"/>
    <col min="4108" max="4108" width="12.28515625" style="54" customWidth="1"/>
    <col min="4109" max="4109" width="11.5703125" style="54" customWidth="1"/>
    <col min="4110" max="4110" width="7.85546875" style="54" customWidth="1"/>
    <col min="4111" max="4111" width="8.140625" style="54" customWidth="1"/>
    <col min="4112" max="4112" width="8.42578125" style="54" customWidth="1"/>
    <col min="4113" max="4113" width="10.5703125" style="54" customWidth="1"/>
    <col min="4114" max="4114" width="9.140625" style="54" bestFit="1" customWidth="1"/>
    <col min="4115" max="4115" width="12.7109375" style="54" bestFit="1" customWidth="1"/>
    <col min="4116" max="4116" width="7.7109375" style="54" customWidth="1"/>
    <col min="4117" max="4117" width="7.85546875" style="54" customWidth="1"/>
    <col min="4118" max="4118" width="9.28515625" style="54" customWidth="1"/>
    <col min="4119" max="4119" width="8.42578125" style="54" customWidth="1"/>
    <col min="4120" max="4120" width="7.28515625" style="54" customWidth="1"/>
    <col min="4121" max="4121" width="7.5703125" style="54" customWidth="1"/>
    <col min="4122" max="4122" width="9.7109375" style="54" customWidth="1"/>
    <col min="4123" max="4123" width="8.85546875" style="54" customWidth="1"/>
    <col min="4124" max="4352" width="11.42578125" style="54"/>
    <col min="4353" max="4353" width="0" style="54" hidden="1" customWidth="1"/>
    <col min="4354" max="4354" width="13.140625" style="54" customWidth="1"/>
    <col min="4355" max="4355" width="9.42578125" style="54" customWidth="1"/>
    <col min="4356" max="4356" width="11.42578125" style="54" customWidth="1"/>
    <col min="4357" max="4359" width="12.140625" style="54" customWidth="1"/>
    <col min="4360" max="4360" width="12.7109375" style="54" bestFit="1" customWidth="1"/>
    <col min="4361" max="4361" width="11.5703125" style="54" customWidth="1"/>
    <col min="4362" max="4362" width="11.42578125" style="54"/>
    <col min="4363" max="4363" width="11" style="54" customWidth="1"/>
    <col min="4364" max="4364" width="12.28515625" style="54" customWidth="1"/>
    <col min="4365" max="4365" width="11.5703125" style="54" customWidth="1"/>
    <col min="4366" max="4366" width="7.85546875" style="54" customWidth="1"/>
    <col min="4367" max="4367" width="8.140625" style="54" customWidth="1"/>
    <col min="4368" max="4368" width="8.42578125" style="54" customWidth="1"/>
    <col min="4369" max="4369" width="10.5703125" style="54" customWidth="1"/>
    <col min="4370" max="4370" width="9.140625" style="54" bestFit="1" customWidth="1"/>
    <col min="4371" max="4371" width="12.7109375" style="54" bestFit="1" customWidth="1"/>
    <col min="4372" max="4372" width="7.7109375" style="54" customWidth="1"/>
    <col min="4373" max="4373" width="7.85546875" style="54" customWidth="1"/>
    <col min="4374" max="4374" width="9.28515625" style="54" customWidth="1"/>
    <col min="4375" max="4375" width="8.42578125" style="54" customWidth="1"/>
    <col min="4376" max="4376" width="7.28515625" style="54" customWidth="1"/>
    <col min="4377" max="4377" width="7.5703125" style="54" customWidth="1"/>
    <col min="4378" max="4378" width="9.7109375" style="54" customWidth="1"/>
    <col min="4379" max="4379" width="8.85546875" style="54" customWidth="1"/>
    <col min="4380" max="4608" width="11.42578125" style="54"/>
    <col min="4609" max="4609" width="0" style="54" hidden="1" customWidth="1"/>
    <col min="4610" max="4610" width="13.140625" style="54" customWidth="1"/>
    <col min="4611" max="4611" width="9.42578125" style="54" customWidth="1"/>
    <col min="4612" max="4612" width="11.42578125" style="54" customWidth="1"/>
    <col min="4613" max="4615" width="12.140625" style="54" customWidth="1"/>
    <col min="4616" max="4616" width="12.7109375" style="54" bestFit="1" customWidth="1"/>
    <col min="4617" max="4617" width="11.5703125" style="54" customWidth="1"/>
    <col min="4618" max="4618" width="11.42578125" style="54"/>
    <col min="4619" max="4619" width="11" style="54" customWidth="1"/>
    <col min="4620" max="4620" width="12.28515625" style="54" customWidth="1"/>
    <col min="4621" max="4621" width="11.5703125" style="54" customWidth="1"/>
    <col min="4622" max="4622" width="7.85546875" style="54" customWidth="1"/>
    <col min="4623" max="4623" width="8.140625" style="54" customWidth="1"/>
    <col min="4624" max="4624" width="8.42578125" style="54" customWidth="1"/>
    <col min="4625" max="4625" width="10.5703125" style="54" customWidth="1"/>
    <col min="4626" max="4626" width="9.140625" style="54" bestFit="1" customWidth="1"/>
    <col min="4627" max="4627" width="12.7109375" style="54" bestFit="1" customWidth="1"/>
    <col min="4628" max="4628" width="7.7109375" style="54" customWidth="1"/>
    <col min="4629" max="4629" width="7.85546875" style="54" customWidth="1"/>
    <col min="4630" max="4630" width="9.28515625" style="54" customWidth="1"/>
    <col min="4631" max="4631" width="8.42578125" style="54" customWidth="1"/>
    <col min="4632" max="4632" width="7.28515625" style="54" customWidth="1"/>
    <col min="4633" max="4633" width="7.5703125" style="54" customWidth="1"/>
    <col min="4634" max="4634" width="9.7109375" style="54" customWidth="1"/>
    <col min="4635" max="4635" width="8.85546875" style="54" customWidth="1"/>
    <col min="4636" max="4864" width="11.42578125" style="54"/>
    <col min="4865" max="4865" width="0" style="54" hidden="1" customWidth="1"/>
    <col min="4866" max="4866" width="13.140625" style="54" customWidth="1"/>
    <col min="4867" max="4867" width="9.42578125" style="54" customWidth="1"/>
    <col min="4868" max="4868" width="11.42578125" style="54" customWidth="1"/>
    <col min="4869" max="4871" width="12.140625" style="54" customWidth="1"/>
    <col min="4872" max="4872" width="12.7109375" style="54" bestFit="1" customWidth="1"/>
    <col min="4873" max="4873" width="11.5703125" style="54" customWidth="1"/>
    <col min="4874" max="4874" width="11.42578125" style="54"/>
    <col min="4875" max="4875" width="11" style="54" customWidth="1"/>
    <col min="4876" max="4876" width="12.28515625" style="54" customWidth="1"/>
    <col min="4877" max="4877" width="11.5703125" style="54" customWidth="1"/>
    <col min="4878" max="4878" width="7.85546875" style="54" customWidth="1"/>
    <col min="4879" max="4879" width="8.140625" style="54" customWidth="1"/>
    <col min="4880" max="4880" width="8.42578125" style="54" customWidth="1"/>
    <col min="4881" max="4881" width="10.5703125" style="54" customWidth="1"/>
    <col min="4882" max="4882" width="9.140625" style="54" bestFit="1" customWidth="1"/>
    <col min="4883" max="4883" width="12.7109375" style="54" bestFit="1" customWidth="1"/>
    <col min="4884" max="4884" width="7.7109375" style="54" customWidth="1"/>
    <col min="4885" max="4885" width="7.85546875" style="54" customWidth="1"/>
    <col min="4886" max="4886" width="9.28515625" style="54" customWidth="1"/>
    <col min="4887" max="4887" width="8.42578125" style="54" customWidth="1"/>
    <col min="4888" max="4888" width="7.28515625" style="54" customWidth="1"/>
    <col min="4889" max="4889" width="7.5703125" style="54" customWidth="1"/>
    <col min="4890" max="4890" width="9.7109375" style="54" customWidth="1"/>
    <col min="4891" max="4891" width="8.85546875" style="54" customWidth="1"/>
    <col min="4892" max="5120" width="11.42578125" style="54"/>
    <col min="5121" max="5121" width="0" style="54" hidden="1" customWidth="1"/>
    <col min="5122" max="5122" width="13.140625" style="54" customWidth="1"/>
    <col min="5123" max="5123" width="9.42578125" style="54" customWidth="1"/>
    <col min="5124" max="5124" width="11.42578125" style="54" customWidth="1"/>
    <col min="5125" max="5127" width="12.140625" style="54" customWidth="1"/>
    <col min="5128" max="5128" width="12.7109375" style="54" bestFit="1" customWidth="1"/>
    <col min="5129" max="5129" width="11.5703125" style="54" customWidth="1"/>
    <col min="5130" max="5130" width="11.42578125" style="54"/>
    <col min="5131" max="5131" width="11" style="54" customWidth="1"/>
    <col min="5132" max="5132" width="12.28515625" style="54" customWidth="1"/>
    <col min="5133" max="5133" width="11.5703125" style="54" customWidth="1"/>
    <col min="5134" max="5134" width="7.85546875" style="54" customWidth="1"/>
    <col min="5135" max="5135" width="8.140625" style="54" customWidth="1"/>
    <col min="5136" max="5136" width="8.42578125" style="54" customWidth="1"/>
    <col min="5137" max="5137" width="10.5703125" style="54" customWidth="1"/>
    <col min="5138" max="5138" width="9.140625" style="54" bestFit="1" customWidth="1"/>
    <col min="5139" max="5139" width="12.7109375" style="54" bestFit="1" customWidth="1"/>
    <col min="5140" max="5140" width="7.7109375" style="54" customWidth="1"/>
    <col min="5141" max="5141" width="7.85546875" style="54" customWidth="1"/>
    <col min="5142" max="5142" width="9.28515625" style="54" customWidth="1"/>
    <col min="5143" max="5143" width="8.42578125" style="54" customWidth="1"/>
    <col min="5144" max="5144" width="7.28515625" style="54" customWidth="1"/>
    <col min="5145" max="5145" width="7.5703125" style="54" customWidth="1"/>
    <col min="5146" max="5146" width="9.7109375" style="54" customWidth="1"/>
    <col min="5147" max="5147" width="8.85546875" style="54" customWidth="1"/>
    <col min="5148" max="5376" width="11.42578125" style="54"/>
    <col min="5377" max="5377" width="0" style="54" hidden="1" customWidth="1"/>
    <col min="5378" max="5378" width="13.140625" style="54" customWidth="1"/>
    <col min="5379" max="5379" width="9.42578125" style="54" customWidth="1"/>
    <col min="5380" max="5380" width="11.42578125" style="54" customWidth="1"/>
    <col min="5381" max="5383" width="12.140625" style="54" customWidth="1"/>
    <col min="5384" max="5384" width="12.7109375" style="54" bestFit="1" customWidth="1"/>
    <col min="5385" max="5385" width="11.5703125" style="54" customWidth="1"/>
    <col min="5386" max="5386" width="11.42578125" style="54"/>
    <col min="5387" max="5387" width="11" style="54" customWidth="1"/>
    <col min="5388" max="5388" width="12.28515625" style="54" customWidth="1"/>
    <col min="5389" max="5389" width="11.5703125" style="54" customWidth="1"/>
    <col min="5390" max="5390" width="7.85546875" style="54" customWidth="1"/>
    <col min="5391" max="5391" width="8.140625" style="54" customWidth="1"/>
    <col min="5392" max="5392" width="8.42578125" style="54" customWidth="1"/>
    <col min="5393" max="5393" width="10.5703125" style="54" customWidth="1"/>
    <col min="5394" max="5394" width="9.140625" style="54" bestFit="1" customWidth="1"/>
    <col min="5395" max="5395" width="12.7109375" style="54" bestFit="1" customWidth="1"/>
    <col min="5396" max="5396" width="7.7109375" style="54" customWidth="1"/>
    <col min="5397" max="5397" width="7.85546875" style="54" customWidth="1"/>
    <col min="5398" max="5398" width="9.28515625" style="54" customWidth="1"/>
    <col min="5399" max="5399" width="8.42578125" style="54" customWidth="1"/>
    <col min="5400" max="5400" width="7.28515625" style="54" customWidth="1"/>
    <col min="5401" max="5401" width="7.5703125" style="54" customWidth="1"/>
    <col min="5402" max="5402" width="9.7109375" style="54" customWidth="1"/>
    <col min="5403" max="5403" width="8.85546875" style="54" customWidth="1"/>
    <col min="5404" max="5632" width="11.42578125" style="54"/>
    <col min="5633" max="5633" width="0" style="54" hidden="1" customWidth="1"/>
    <col min="5634" max="5634" width="13.140625" style="54" customWidth="1"/>
    <col min="5635" max="5635" width="9.42578125" style="54" customWidth="1"/>
    <col min="5636" max="5636" width="11.42578125" style="54" customWidth="1"/>
    <col min="5637" max="5639" width="12.140625" style="54" customWidth="1"/>
    <col min="5640" max="5640" width="12.7109375" style="54" bestFit="1" customWidth="1"/>
    <col min="5641" max="5641" width="11.5703125" style="54" customWidth="1"/>
    <col min="5642" max="5642" width="11.42578125" style="54"/>
    <col min="5643" max="5643" width="11" style="54" customWidth="1"/>
    <col min="5644" max="5644" width="12.28515625" style="54" customWidth="1"/>
    <col min="5645" max="5645" width="11.5703125" style="54" customWidth="1"/>
    <col min="5646" max="5646" width="7.85546875" style="54" customWidth="1"/>
    <col min="5647" max="5647" width="8.140625" style="54" customWidth="1"/>
    <col min="5648" max="5648" width="8.42578125" style="54" customWidth="1"/>
    <col min="5649" max="5649" width="10.5703125" style="54" customWidth="1"/>
    <col min="5650" max="5650" width="9.140625" style="54" bestFit="1" customWidth="1"/>
    <col min="5651" max="5651" width="12.7109375" style="54" bestFit="1" customWidth="1"/>
    <col min="5652" max="5652" width="7.7109375" style="54" customWidth="1"/>
    <col min="5653" max="5653" width="7.85546875" style="54" customWidth="1"/>
    <col min="5654" max="5654" width="9.28515625" style="54" customWidth="1"/>
    <col min="5655" max="5655" width="8.42578125" style="54" customWidth="1"/>
    <col min="5656" max="5656" width="7.28515625" style="54" customWidth="1"/>
    <col min="5657" max="5657" width="7.5703125" style="54" customWidth="1"/>
    <col min="5658" max="5658" width="9.7109375" style="54" customWidth="1"/>
    <col min="5659" max="5659" width="8.85546875" style="54" customWidth="1"/>
    <col min="5660" max="5888" width="11.42578125" style="54"/>
    <col min="5889" max="5889" width="0" style="54" hidden="1" customWidth="1"/>
    <col min="5890" max="5890" width="13.140625" style="54" customWidth="1"/>
    <col min="5891" max="5891" width="9.42578125" style="54" customWidth="1"/>
    <col min="5892" max="5892" width="11.42578125" style="54" customWidth="1"/>
    <col min="5893" max="5895" width="12.140625" style="54" customWidth="1"/>
    <col min="5896" max="5896" width="12.7109375" style="54" bestFit="1" customWidth="1"/>
    <col min="5897" max="5897" width="11.5703125" style="54" customWidth="1"/>
    <col min="5898" max="5898" width="11.42578125" style="54"/>
    <col min="5899" max="5899" width="11" style="54" customWidth="1"/>
    <col min="5900" max="5900" width="12.28515625" style="54" customWidth="1"/>
    <col min="5901" max="5901" width="11.5703125" style="54" customWidth="1"/>
    <col min="5902" max="5902" width="7.85546875" style="54" customWidth="1"/>
    <col min="5903" max="5903" width="8.140625" style="54" customWidth="1"/>
    <col min="5904" max="5904" width="8.42578125" style="54" customWidth="1"/>
    <col min="5905" max="5905" width="10.5703125" style="54" customWidth="1"/>
    <col min="5906" max="5906" width="9.140625" style="54" bestFit="1" customWidth="1"/>
    <col min="5907" max="5907" width="12.7109375" style="54" bestFit="1" customWidth="1"/>
    <col min="5908" max="5908" width="7.7109375" style="54" customWidth="1"/>
    <col min="5909" max="5909" width="7.85546875" style="54" customWidth="1"/>
    <col min="5910" max="5910" width="9.28515625" style="54" customWidth="1"/>
    <col min="5911" max="5911" width="8.42578125" style="54" customWidth="1"/>
    <col min="5912" max="5912" width="7.28515625" style="54" customWidth="1"/>
    <col min="5913" max="5913" width="7.5703125" style="54" customWidth="1"/>
    <col min="5914" max="5914" width="9.7109375" style="54" customWidth="1"/>
    <col min="5915" max="5915" width="8.85546875" style="54" customWidth="1"/>
    <col min="5916" max="6144" width="11.42578125" style="54"/>
    <col min="6145" max="6145" width="0" style="54" hidden="1" customWidth="1"/>
    <col min="6146" max="6146" width="13.140625" style="54" customWidth="1"/>
    <col min="6147" max="6147" width="9.42578125" style="54" customWidth="1"/>
    <col min="6148" max="6148" width="11.42578125" style="54" customWidth="1"/>
    <col min="6149" max="6151" width="12.140625" style="54" customWidth="1"/>
    <col min="6152" max="6152" width="12.7109375" style="54" bestFit="1" customWidth="1"/>
    <col min="6153" max="6153" width="11.5703125" style="54" customWidth="1"/>
    <col min="6154" max="6154" width="11.42578125" style="54"/>
    <col min="6155" max="6155" width="11" style="54" customWidth="1"/>
    <col min="6156" max="6156" width="12.28515625" style="54" customWidth="1"/>
    <col min="6157" max="6157" width="11.5703125" style="54" customWidth="1"/>
    <col min="6158" max="6158" width="7.85546875" style="54" customWidth="1"/>
    <col min="6159" max="6159" width="8.140625" style="54" customWidth="1"/>
    <col min="6160" max="6160" width="8.42578125" style="54" customWidth="1"/>
    <col min="6161" max="6161" width="10.5703125" style="54" customWidth="1"/>
    <col min="6162" max="6162" width="9.140625" style="54" bestFit="1" customWidth="1"/>
    <col min="6163" max="6163" width="12.7109375" style="54" bestFit="1" customWidth="1"/>
    <col min="6164" max="6164" width="7.7109375" style="54" customWidth="1"/>
    <col min="6165" max="6165" width="7.85546875" style="54" customWidth="1"/>
    <col min="6166" max="6166" width="9.28515625" style="54" customWidth="1"/>
    <col min="6167" max="6167" width="8.42578125" style="54" customWidth="1"/>
    <col min="6168" max="6168" width="7.28515625" style="54" customWidth="1"/>
    <col min="6169" max="6169" width="7.5703125" style="54" customWidth="1"/>
    <col min="6170" max="6170" width="9.7109375" style="54" customWidth="1"/>
    <col min="6171" max="6171" width="8.85546875" style="54" customWidth="1"/>
    <col min="6172" max="6400" width="11.42578125" style="54"/>
    <col min="6401" max="6401" width="0" style="54" hidden="1" customWidth="1"/>
    <col min="6402" max="6402" width="13.140625" style="54" customWidth="1"/>
    <col min="6403" max="6403" width="9.42578125" style="54" customWidth="1"/>
    <col min="6404" max="6404" width="11.42578125" style="54" customWidth="1"/>
    <col min="6405" max="6407" width="12.140625" style="54" customWidth="1"/>
    <col min="6408" max="6408" width="12.7109375" style="54" bestFit="1" customWidth="1"/>
    <col min="6409" max="6409" width="11.5703125" style="54" customWidth="1"/>
    <col min="6410" max="6410" width="11.42578125" style="54"/>
    <col min="6411" max="6411" width="11" style="54" customWidth="1"/>
    <col min="6412" max="6412" width="12.28515625" style="54" customWidth="1"/>
    <col min="6413" max="6413" width="11.5703125" style="54" customWidth="1"/>
    <col min="6414" max="6414" width="7.85546875" style="54" customWidth="1"/>
    <col min="6415" max="6415" width="8.140625" style="54" customWidth="1"/>
    <col min="6416" max="6416" width="8.42578125" style="54" customWidth="1"/>
    <col min="6417" max="6417" width="10.5703125" style="54" customWidth="1"/>
    <col min="6418" max="6418" width="9.140625" style="54" bestFit="1" customWidth="1"/>
    <col min="6419" max="6419" width="12.7109375" style="54" bestFit="1" customWidth="1"/>
    <col min="6420" max="6420" width="7.7109375" style="54" customWidth="1"/>
    <col min="6421" max="6421" width="7.85546875" style="54" customWidth="1"/>
    <col min="6422" max="6422" width="9.28515625" style="54" customWidth="1"/>
    <col min="6423" max="6423" width="8.42578125" style="54" customWidth="1"/>
    <col min="6424" max="6424" width="7.28515625" style="54" customWidth="1"/>
    <col min="6425" max="6425" width="7.5703125" style="54" customWidth="1"/>
    <col min="6426" max="6426" width="9.7109375" style="54" customWidth="1"/>
    <col min="6427" max="6427" width="8.85546875" style="54" customWidth="1"/>
    <col min="6428" max="6656" width="11.42578125" style="54"/>
    <col min="6657" max="6657" width="0" style="54" hidden="1" customWidth="1"/>
    <col min="6658" max="6658" width="13.140625" style="54" customWidth="1"/>
    <col min="6659" max="6659" width="9.42578125" style="54" customWidth="1"/>
    <col min="6660" max="6660" width="11.42578125" style="54" customWidth="1"/>
    <col min="6661" max="6663" width="12.140625" style="54" customWidth="1"/>
    <col min="6664" max="6664" width="12.7109375" style="54" bestFit="1" customWidth="1"/>
    <col min="6665" max="6665" width="11.5703125" style="54" customWidth="1"/>
    <col min="6666" max="6666" width="11.42578125" style="54"/>
    <col min="6667" max="6667" width="11" style="54" customWidth="1"/>
    <col min="6668" max="6668" width="12.28515625" style="54" customWidth="1"/>
    <col min="6669" max="6669" width="11.5703125" style="54" customWidth="1"/>
    <col min="6670" max="6670" width="7.85546875" style="54" customWidth="1"/>
    <col min="6671" max="6671" width="8.140625" style="54" customWidth="1"/>
    <col min="6672" max="6672" width="8.42578125" style="54" customWidth="1"/>
    <col min="6673" max="6673" width="10.5703125" style="54" customWidth="1"/>
    <col min="6674" max="6674" width="9.140625" style="54" bestFit="1" customWidth="1"/>
    <col min="6675" max="6675" width="12.7109375" style="54" bestFit="1" customWidth="1"/>
    <col min="6676" max="6676" width="7.7109375" style="54" customWidth="1"/>
    <col min="6677" max="6677" width="7.85546875" style="54" customWidth="1"/>
    <col min="6678" max="6678" width="9.28515625" style="54" customWidth="1"/>
    <col min="6679" max="6679" width="8.42578125" style="54" customWidth="1"/>
    <col min="6680" max="6680" width="7.28515625" style="54" customWidth="1"/>
    <col min="6681" max="6681" width="7.5703125" style="54" customWidth="1"/>
    <col min="6682" max="6682" width="9.7109375" style="54" customWidth="1"/>
    <col min="6683" max="6683" width="8.85546875" style="54" customWidth="1"/>
    <col min="6684" max="6912" width="11.42578125" style="54"/>
    <col min="6913" max="6913" width="0" style="54" hidden="1" customWidth="1"/>
    <col min="6914" max="6914" width="13.140625" style="54" customWidth="1"/>
    <col min="6915" max="6915" width="9.42578125" style="54" customWidth="1"/>
    <col min="6916" max="6916" width="11.42578125" style="54" customWidth="1"/>
    <col min="6917" max="6919" width="12.140625" style="54" customWidth="1"/>
    <col min="6920" max="6920" width="12.7109375" style="54" bestFit="1" customWidth="1"/>
    <col min="6921" max="6921" width="11.5703125" style="54" customWidth="1"/>
    <col min="6922" max="6922" width="11.42578125" style="54"/>
    <col min="6923" max="6923" width="11" style="54" customWidth="1"/>
    <col min="6924" max="6924" width="12.28515625" style="54" customWidth="1"/>
    <col min="6925" max="6925" width="11.5703125" style="54" customWidth="1"/>
    <col min="6926" max="6926" width="7.85546875" style="54" customWidth="1"/>
    <col min="6927" max="6927" width="8.140625" style="54" customWidth="1"/>
    <col min="6928" max="6928" width="8.42578125" style="54" customWidth="1"/>
    <col min="6929" max="6929" width="10.5703125" style="54" customWidth="1"/>
    <col min="6930" max="6930" width="9.140625" style="54" bestFit="1" customWidth="1"/>
    <col min="6931" max="6931" width="12.7109375" style="54" bestFit="1" customWidth="1"/>
    <col min="6932" max="6932" width="7.7109375" style="54" customWidth="1"/>
    <col min="6933" max="6933" width="7.85546875" style="54" customWidth="1"/>
    <col min="6934" max="6934" width="9.28515625" style="54" customWidth="1"/>
    <col min="6935" max="6935" width="8.42578125" style="54" customWidth="1"/>
    <col min="6936" max="6936" width="7.28515625" style="54" customWidth="1"/>
    <col min="6937" max="6937" width="7.5703125" style="54" customWidth="1"/>
    <col min="6938" max="6938" width="9.7109375" style="54" customWidth="1"/>
    <col min="6939" max="6939" width="8.85546875" style="54" customWidth="1"/>
    <col min="6940" max="7168" width="11.42578125" style="54"/>
    <col min="7169" max="7169" width="0" style="54" hidden="1" customWidth="1"/>
    <col min="7170" max="7170" width="13.140625" style="54" customWidth="1"/>
    <col min="7171" max="7171" width="9.42578125" style="54" customWidth="1"/>
    <col min="7172" max="7172" width="11.42578125" style="54" customWidth="1"/>
    <col min="7173" max="7175" width="12.140625" style="54" customWidth="1"/>
    <col min="7176" max="7176" width="12.7109375" style="54" bestFit="1" customWidth="1"/>
    <col min="7177" max="7177" width="11.5703125" style="54" customWidth="1"/>
    <col min="7178" max="7178" width="11.42578125" style="54"/>
    <col min="7179" max="7179" width="11" style="54" customWidth="1"/>
    <col min="7180" max="7180" width="12.28515625" style="54" customWidth="1"/>
    <col min="7181" max="7181" width="11.5703125" style="54" customWidth="1"/>
    <col min="7182" max="7182" width="7.85546875" style="54" customWidth="1"/>
    <col min="7183" max="7183" width="8.140625" style="54" customWidth="1"/>
    <col min="7184" max="7184" width="8.42578125" style="54" customWidth="1"/>
    <col min="7185" max="7185" width="10.5703125" style="54" customWidth="1"/>
    <col min="7186" max="7186" width="9.140625" style="54" bestFit="1" customWidth="1"/>
    <col min="7187" max="7187" width="12.7109375" style="54" bestFit="1" customWidth="1"/>
    <col min="7188" max="7188" width="7.7109375" style="54" customWidth="1"/>
    <col min="7189" max="7189" width="7.85546875" style="54" customWidth="1"/>
    <col min="7190" max="7190" width="9.28515625" style="54" customWidth="1"/>
    <col min="7191" max="7191" width="8.42578125" style="54" customWidth="1"/>
    <col min="7192" max="7192" width="7.28515625" style="54" customWidth="1"/>
    <col min="7193" max="7193" width="7.5703125" style="54" customWidth="1"/>
    <col min="7194" max="7194" width="9.7109375" style="54" customWidth="1"/>
    <col min="7195" max="7195" width="8.85546875" style="54" customWidth="1"/>
    <col min="7196" max="7424" width="11.42578125" style="54"/>
    <col min="7425" max="7425" width="0" style="54" hidden="1" customWidth="1"/>
    <col min="7426" max="7426" width="13.140625" style="54" customWidth="1"/>
    <col min="7427" max="7427" width="9.42578125" style="54" customWidth="1"/>
    <col min="7428" max="7428" width="11.42578125" style="54" customWidth="1"/>
    <col min="7429" max="7431" width="12.140625" style="54" customWidth="1"/>
    <col min="7432" max="7432" width="12.7109375" style="54" bestFit="1" customWidth="1"/>
    <col min="7433" max="7433" width="11.5703125" style="54" customWidth="1"/>
    <col min="7434" max="7434" width="11.42578125" style="54"/>
    <col min="7435" max="7435" width="11" style="54" customWidth="1"/>
    <col min="7436" max="7436" width="12.28515625" style="54" customWidth="1"/>
    <col min="7437" max="7437" width="11.5703125" style="54" customWidth="1"/>
    <col min="7438" max="7438" width="7.85546875" style="54" customWidth="1"/>
    <col min="7439" max="7439" width="8.140625" style="54" customWidth="1"/>
    <col min="7440" max="7440" width="8.42578125" style="54" customWidth="1"/>
    <col min="7441" max="7441" width="10.5703125" style="54" customWidth="1"/>
    <col min="7442" max="7442" width="9.140625" style="54" bestFit="1" customWidth="1"/>
    <col min="7443" max="7443" width="12.7109375" style="54" bestFit="1" customWidth="1"/>
    <col min="7444" max="7444" width="7.7109375" style="54" customWidth="1"/>
    <col min="7445" max="7445" width="7.85546875" style="54" customWidth="1"/>
    <col min="7446" max="7446" width="9.28515625" style="54" customWidth="1"/>
    <col min="7447" max="7447" width="8.42578125" style="54" customWidth="1"/>
    <col min="7448" max="7448" width="7.28515625" style="54" customWidth="1"/>
    <col min="7449" max="7449" width="7.5703125" style="54" customWidth="1"/>
    <col min="7450" max="7450" width="9.7109375" style="54" customWidth="1"/>
    <col min="7451" max="7451" width="8.85546875" style="54" customWidth="1"/>
    <col min="7452" max="7680" width="11.42578125" style="54"/>
    <col min="7681" max="7681" width="0" style="54" hidden="1" customWidth="1"/>
    <col min="7682" max="7682" width="13.140625" style="54" customWidth="1"/>
    <col min="7683" max="7683" width="9.42578125" style="54" customWidth="1"/>
    <col min="7684" max="7684" width="11.42578125" style="54" customWidth="1"/>
    <col min="7685" max="7687" width="12.140625" style="54" customWidth="1"/>
    <col min="7688" max="7688" width="12.7109375" style="54" bestFit="1" customWidth="1"/>
    <col min="7689" max="7689" width="11.5703125" style="54" customWidth="1"/>
    <col min="7690" max="7690" width="11.42578125" style="54"/>
    <col min="7691" max="7691" width="11" style="54" customWidth="1"/>
    <col min="7692" max="7692" width="12.28515625" style="54" customWidth="1"/>
    <col min="7693" max="7693" width="11.5703125" style="54" customWidth="1"/>
    <col min="7694" max="7694" width="7.85546875" style="54" customWidth="1"/>
    <col min="7695" max="7695" width="8.140625" style="54" customWidth="1"/>
    <col min="7696" max="7696" width="8.42578125" style="54" customWidth="1"/>
    <col min="7697" max="7697" width="10.5703125" style="54" customWidth="1"/>
    <col min="7698" max="7698" width="9.140625" style="54" bestFit="1" customWidth="1"/>
    <col min="7699" max="7699" width="12.7109375" style="54" bestFit="1" customWidth="1"/>
    <col min="7700" max="7700" width="7.7109375" style="54" customWidth="1"/>
    <col min="7701" max="7701" width="7.85546875" style="54" customWidth="1"/>
    <col min="7702" max="7702" width="9.28515625" style="54" customWidth="1"/>
    <col min="7703" max="7703" width="8.42578125" style="54" customWidth="1"/>
    <col min="7704" max="7704" width="7.28515625" style="54" customWidth="1"/>
    <col min="7705" max="7705" width="7.5703125" style="54" customWidth="1"/>
    <col min="7706" max="7706" width="9.7109375" style="54" customWidth="1"/>
    <col min="7707" max="7707" width="8.85546875" style="54" customWidth="1"/>
    <col min="7708" max="7936" width="11.42578125" style="54"/>
    <col min="7937" max="7937" width="0" style="54" hidden="1" customWidth="1"/>
    <col min="7938" max="7938" width="13.140625" style="54" customWidth="1"/>
    <col min="7939" max="7939" width="9.42578125" style="54" customWidth="1"/>
    <col min="7940" max="7940" width="11.42578125" style="54" customWidth="1"/>
    <col min="7941" max="7943" width="12.140625" style="54" customWidth="1"/>
    <col min="7944" max="7944" width="12.7109375" style="54" bestFit="1" customWidth="1"/>
    <col min="7945" max="7945" width="11.5703125" style="54" customWidth="1"/>
    <col min="7946" max="7946" width="11.42578125" style="54"/>
    <col min="7947" max="7947" width="11" style="54" customWidth="1"/>
    <col min="7948" max="7948" width="12.28515625" style="54" customWidth="1"/>
    <col min="7949" max="7949" width="11.5703125" style="54" customWidth="1"/>
    <col min="7950" max="7950" width="7.85546875" style="54" customWidth="1"/>
    <col min="7951" max="7951" width="8.140625" style="54" customWidth="1"/>
    <col min="7952" max="7952" width="8.42578125" style="54" customWidth="1"/>
    <col min="7953" max="7953" width="10.5703125" style="54" customWidth="1"/>
    <col min="7954" max="7954" width="9.140625" style="54" bestFit="1" customWidth="1"/>
    <col min="7955" max="7955" width="12.7109375" style="54" bestFit="1" customWidth="1"/>
    <col min="7956" max="7956" width="7.7109375" style="54" customWidth="1"/>
    <col min="7957" max="7957" width="7.85546875" style="54" customWidth="1"/>
    <col min="7958" max="7958" width="9.28515625" style="54" customWidth="1"/>
    <col min="7959" max="7959" width="8.42578125" style="54" customWidth="1"/>
    <col min="7960" max="7960" width="7.28515625" style="54" customWidth="1"/>
    <col min="7961" max="7961" width="7.5703125" style="54" customWidth="1"/>
    <col min="7962" max="7962" width="9.7109375" style="54" customWidth="1"/>
    <col min="7963" max="7963" width="8.85546875" style="54" customWidth="1"/>
    <col min="7964" max="8192" width="11.42578125" style="54"/>
    <col min="8193" max="8193" width="0" style="54" hidden="1" customWidth="1"/>
    <col min="8194" max="8194" width="13.140625" style="54" customWidth="1"/>
    <col min="8195" max="8195" width="9.42578125" style="54" customWidth="1"/>
    <col min="8196" max="8196" width="11.42578125" style="54" customWidth="1"/>
    <col min="8197" max="8199" width="12.140625" style="54" customWidth="1"/>
    <col min="8200" max="8200" width="12.7109375" style="54" bestFit="1" customWidth="1"/>
    <col min="8201" max="8201" width="11.5703125" style="54" customWidth="1"/>
    <col min="8202" max="8202" width="11.42578125" style="54"/>
    <col min="8203" max="8203" width="11" style="54" customWidth="1"/>
    <col min="8204" max="8204" width="12.28515625" style="54" customWidth="1"/>
    <col min="8205" max="8205" width="11.5703125" style="54" customWidth="1"/>
    <col min="8206" max="8206" width="7.85546875" style="54" customWidth="1"/>
    <col min="8207" max="8207" width="8.140625" style="54" customWidth="1"/>
    <col min="8208" max="8208" width="8.42578125" style="54" customWidth="1"/>
    <col min="8209" max="8209" width="10.5703125" style="54" customWidth="1"/>
    <col min="8210" max="8210" width="9.140625" style="54" bestFit="1" customWidth="1"/>
    <col min="8211" max="8211" width="12.7109375" style="54" bestFit="1" customWidth="1"/>
    <col min="8212" max="8212" width="7.7109375" style="54" customWidth="1"/>
    <col min="8213" max="8213" width="7.85546875" style="54" customWidth="1"/>
    <col min="8214" max="8214" width="9.28515625" style="54" customWidth="1"/>
    <col min="8215" max="8215" width="8.42578125" style="54" customWidth="1"/>
    <col min="8216" max="8216" width="7.28515625" style="54" customWidth="1"/>
    <col min="8217" max="8217" width="7.5703125" style="54" customWidth="1"/>
    <col min="8218" max="8218" width="9.7109375" style="54" customWidth="1"/>
    <col min="8219" max="8219" width="8.85546875" style="54" customWidth="1"/>
    <col min="8220" max="8448" width="11.42578125" style="54"/>
    <col min="8449" max="8449" width="0" style="54" hidden="1" customWidth="1"/>
    <col min="8450" max="8450" width="13.140625" style="54" customWidth="1"/>
    <col min="8451" max="8451" width="9.42578125" style="54" customWidth="1"/>
    <col min="8452" max="8452" width="11.42578125" style="54" customWidth="1"/>
    <col min="8453" max="8455" width="12.140625" style="54" customWidth="1"/>
    <col min="8456" max="8456" width="12.7109375" style="54" bestFit="1" customWidth="1"/>
    <col min="8457" max="8457" width="11.5703125" style="54" customWidth="1"/>
    <col min="8458" max="8458" width="11.42578125" style="54"/>
    <col min="8459" max="8459" width="11" style="54" customWidth="1"/>
    <col min="8460" max="8460" width="12.28515625" style="54" customWidth="1"/>
    <col min="8461" max="8461" width="11.5703125" style="54" customWidth="1"/>
    <col min="8462" max="8462" width="7.85546875" style="54" customWidth="1"/>
    <col min="8463" max="8463" width="8.140625" style="54" customWidth="1"/>
    <col min="8464" max="8464" width="8.42578125" style="54" customWidth="1"/>
    <col min="8465" max="8465" width="10.5703125" style="54" customWidth="1"/>
    <col min="8466" max="8466" width="9.140625" style="54" bestFit="1" customWidth="1"/>
    <col min="8467" max="8467" width="12.7109375" style="54" bestFit="1" customWidth="1"/>
    <col min="8468" max="8468" width="7.7109375" style="54" customWidth="1"/>
    <col min="8469" max="8469" width="7.85546875" style="54" customWidth="1"/>
    <col min="8470" max="8470" width="9.28515625" style="54" customWidth="1"/>
    <col min="8471" max="8471" width="8.42578125" style="54" customWidth="1"/>
    <col min="8472" max="8472" width="7.28515625" style="54" customWidth="1"/>
    <col min="8473" max="8473" width="7.5703125" style="54" customWidth="1"/>
    <col min="8474" max="8474" width="9.7109375" style="54" customWidth="1"/>
    <col min="8475" max="8475" width="8.85546875" style="54" customWidth="1"/>
    <col min="8476" max="8704" width="11.42578125" style="54"/>
    <col min="8705" max="8705" width="0" style="54" hidden="1" customWidth="1"/>
    <col min="8706" max="8706" width="13.140625" style="54" customWidth="1"/>
    <col min="8707" max="8707" width="9.42578125" style="54" customWidth="1"/>
    <col min="8708" max="8708" width="11.42578125" style="54" customWidth="1"/>
    <col min="8709" max="8711" width="12.140625" style="54" customWidth="1"/>
    <col min="8712" max="8712" width="12.7109375" style="54" bestFit="1" customWidth="1"/>
    <col min="8713" max="8713" width="11.5703125" style="54" customWidth="1"/>
    <col min="8714" max="8714" width="11.42578125" style="54"/>
    <col min="8715" max="8715" width="11" style="54" customWidth="1"/>
    <col min="8716" max="8716" width="12.28515625" style="54" customWidth="1"/>
    <col min="8717" max="8717" width="11.5703125" style="54" customWidth="1"/>
    <col min="8718" max="8718" width="7.85546875" style="54" customWidth="1"/>
    <col min="8719" max="8719" width="8.140625" style="54" customWidth="1"/>
    <col min="8720" max="8720" width="8.42578125" style="54" customWidth="1"/>
    <col min="8721" max="8721" width="10.5703125" style="54" customWidth="1"/>
    <col min="8722" max="8722" width="9.140625" style="54" bestFit="1" customWidth="1"/>
    <col min="8723" max="8723" width="12.7109375" style="54" bestFit="1" customWidth="1"/>
    <col min="8724" max="8724" width="7.7109375" style="54" customWidth="1"/>
    <col min="8725" max="8725" width="7.85546875" style="54" customWidth="1"/>
    <col min="8726" max="8726" width="9.28515625" style="54" customWidth="1"/>
    <col min="8727" max="8727" width="8.42578125" style="54" customWidth="1"/>
    <col min="8728" max="8728" width="7.28515625" style="54" customWidth="1"/>
    <col min="8729" max="8729" width="7.5703125" style="54" customWidth="1"/>
    <col min="8730" max="8730" width="9.7109375" style="54" customWidth="1"/>
    <col min="8731" max="8731" width="8.85546875" style="54" customWidth="1"/>
    <col min="8732" max="8960" width="11.42578125" style="54"/>
    <col min="8961" max="8961" width="0" style="54" hidden="1" customWidth="1"/>
    <col min="8962" max="8962" width="13.140625" style="54" customWidth="1"/>
    <col min="8963" max="8963" width="9.42578125" style="54" customWidth="1"/>
    <col min="8964" max="8964" width="11.42578125" style="54" customWidth="1"/>
    <col min="8965" max="8967" width="12.140625" style="54" customWidth="1"/>
    <col min="8968" max="8968" width="12.7109375" style="54" bestFit="1" customWidth="1"/>
    <col min="8969" max="8969" width="11.5703125" style="54" customWidth="1"/>
    <col min="8970" max="8970" width="11.42578125" style="54"/>
    <col min="8971" max="8971" width="11" style="54" customWidth="1"/>
    <col min="8972" max="8972" width="12.28515625" style="54" customWidth="1"/>
    <col min="8973" max="8973" width="11.5703125" style="54" customWidth="1"/>
    <col min="8974" max="8974" width="7.85546875" style="54" customWidth="1"/>
    <col min="8975" max="8975" width="8.140625" style="54" customWidth="1"/>
    <col min="8976" max="8976" width="8.42578125" style="54" customWidth="1"/>
    <col min="8977" max="8977" width="10.5703125" style="54" customWidth="1"/>
    <col min="8978" max="8978" width="9.140625" style="54" bestFit="1" customWidth="1"/>
    <col min="8979" max="8979" width="12.7109375" style="54" bestFit="1" customWidth="1"/>
    <col min="8980" max="8980" width="7.7109375" style="54" customWidth="1"/>
    <col min="8981" max="8981" width="7.85546875" style="54" customWidth="1"/>
    <col min="8982" max="8982" width="9.28515625" style="54" customWidth="1"/>
    <col min="8983" max="8983" width="8.42578125" style="54" customWidth="1"/>
    <col min="8984" max="8984" width="7.28515625" style="54" customWidth="1"/>
    <col min="8985" max="8985" width="7.5703125" style="54" customWidth="1"/>
    <col min="8986" max="8986" width="9.7109375" style="54" customWidth="1"/>
    <col min="8987" max="8987" width="8.85546875" style="54" customWidth="1"/>
    <col min="8988" max="9216" width="11.42578125" style="54"/>
    <col min="9217" max="9217" width="0" style="54" hidden="1" customWidth="1"/>
    <col min="9218" max="9218" width="13.140625" style="54" customWidth="1"/>
    <col min="9219" max="9219" width="9.42578125" style="54" customWidth="1"/>
    <col min="9220" max="9220" width="11.42578125" style="54" customWidth="1"/>
    <col min="9221" max="9223" width="12.140625" style="54" customWidth="1"/>
    <col min="9224" max="9224" width="12.7109375" style="54" bestFit="1" customWidth="1"/>
    <col min="9225" max="9225" width="11.5703125" style="54" customWidth="1"/>
    <col min="9226" max="9226" width="11.42578125" style="54"/>
    <col min="9227" max="9227" width="11" style="54" customWidth="1"/>
    <col min="9228" max="9228" width="12.28515625" style="54" customWidth="1"/>
    <col min="9229" max="9229" width="11.5703125" style="54" customWidth="1"/>
    <col min="9230" max="9230" width="7.85546875" style="54" customWidth="1"/>
    <col min="9231" max="9231" width="8.140625" style="54" customWidth="1"/>
    <col min="9232" max="9232" width="8.42578125" style="54" customWidth="1"/>
    <col min="9233" max="9233" width="10.5703125" style="54" customWidth="1"/>
    <col min="9234" max="9234" width="9.140625" style="54" bestFit="1" customWidth="1"/>
    <col min="9235" max="9235" width="12.7109375" style="54" bestFit="1" customWidth="1"/>
    <col min="9236" max="9236" width="7.7109375" style="54" customWidth="1"/>
    <col min="9237" max="9237" width="7.85546875" style="54" customWidth="1"/>
    <col min="9238" max="9238" width="9.28515625" style="54" customWidth="1"/>
    <col min="9239" max="9239" width="8.42578125" style="54" customWidth="1"/>
    <col min="9240" max="9240" width="7.28515625" style="54" customWidth="1"/>
    <col min="9241" max="9241" width="7.5703125" style="54" customWidth="1"/>
    <col min="9242" max="9242" width="9.7109375" style="54" customWidth="1"/>
    <col min="9243" max="9243" width="8.85546875" style="54" customWidth="1"/>
    <col min="9244" max="9472" width="11.42578125" style="54"/>
    <col min="9473" max="9473" width="0" style="54" hidden="1" customWidth="1"/>
    <col min="9474" max="9474" width="13.140625" style="54" customWidth="1"/>
    <col min="9475" max="9475" width="9.42578125" style="54" customWidth="1"/>
    <col min="9476" max="9476" width="11.42578125" style="54" customWidth="1"/>
    <col min="9477" max="9479" width="12.140625" style="54" customWidth="1"/>
    <col min="9480" max="9480" width="12.7109375" style="54" bestFit="1" customWidth="1"/>
    <col min="9481" max="9481" width="11.5703125" style="54" customWidth="1"/>
    <col min="9482" max="9482" width="11.42578125" style="54"/>
    <col min="9483" max="9483" width="11" style="54" customWidth="1"/>
    <col min="9484" max="9484" width="12.28515625" style="54" customWidth="1"/>
    <col min="9485" max="9485" width="11.5703125" style="54" customWidth="1"/>
    <col min="9486" max="9486" width="7.85546875" style="54" customWidth="1"/>
    <col min="9487" max="9487" width="8.140625" style="54" customWidth="1"/>
    <col min="9488" max="9488" width="8.42578125" style="54" customWidth="1"/>
    <col min="9489" max="9489" width="10.5703125" style="54" customWidth="1"/>
    <col min="9490" max="9490" width="9.140625" style="54" bestFit="1" customWidth="1"/>
    <col min="9491" max="9491" width="12.7109375" style="54" bestFit="1" customWidth="1"/>
    <col min="9492" max="9492" width="7.7109375" style="54" customWidth="1"/>
    <col min="9493" max="9493" width="7.85546875" style="54" customWidth="1"/>
    <col min="9494" max="9494" width="9.28515625" style="54" customWidth="1"/>
    <col min="9495" max="9495" width="8.42578125" style="54" customWidth="1"/>
    <col min="9496" max="9496" width="7.28515625" style="54" customWidth="1"/>
    <col min="9497" max="9497" width="7.5703125" style="54" customWidth="1"/>
    <col min="9498" max="9498" width="9.7109375" style="54" customWidth="1"/>
    <col min="9499" max="9499" width="8.85546875" style="54" customWidth="1"/>
    <col min="9500" max="9728" width="11.42578125" style="54"/>
    <col min="9729" max="9729" width="0" style="54" hidden="1" customWidth="1"/>
    <col min="9730" max="9730" width="13.140625" style="54" customWidth="1"/>
    <col min="9731" max="9731" width="9.42578125" style="54" customWidth="1"/>
    <col min="9732" max="9732" width="11.42578125" style="54" customWidth="1"/>
    <col min="9733" max="9735" width="12.140625" style="54" customWidth="1"/>
    <col min="9736" max="9736" width="12.7109375" style="54" bestFit="1" customWidth="1"/>
    <col min="9737" max="9737" width="11.5703125" style="54" customWidth="1"/>
    <col min="9738" max="9738" width="11.42578125" style="54"/>
    <col min="9739" max="9739" width="11" style="54" customWidth="1"/>
    <col min="9740" max="9740" width="12.28515625" style="54" customWidth="1"/>
    <col min="9741" max="9741" width="11.5703125" style="54" customWidth="1"/>
    <col min="9742" max="9742" width="7.85546875" style="54" customWidth="1"/>
    <col min="9743" max="9743" width="8.140625" style="54" customWidth="1"/>
    <col min="9744" max="9744" width="8.42578125" style="54" customWidth="1"/>
    <col min="9745" max="9745" width="10.5703125" style="54" customWidth="1"/>
    <col min="9746" max="9746" width="9.140625" style="54" bestFit="1" customWidth="1"/>
    <col min="9747" max="9747" width="12.7109375" style="54" bestFit="1" customWidth="1"/>
    <col min="9748" max="9748" width="7.7109375" style="54" customWidth="1"/>
    <col min="9749" max="9749" width="7.85546875" style="54" customWidth="1"/>
    <col min="9750" max="9750" width="9.28515625" style="54" customWidth="1"/>
    <col min="9751" max="9751" width="8.42578125" style="54" customWidth="1"/>
    <col min="9752" max="9752" width="7.28515625" style="54" customWidth="1"/>
    <col min="9753" max="9753" width="7.5703125" style="54" customWidth="1"/>
    <col min="9754" max="9754" width="9.7109375" style="54" customWidth="1"/>
    <col min="9755" max="9755" width="8.85546875" style="54" customWidth="1"/>
    <col min="9756" max="9984" width="11.42578125" style="54"/>
    <col min="9985" max="9985" width="0" style="54" hidden="1" customWidth="1"/>
    <col min="9986" max="9986" width="13.140625" style="54" customWidth="1"/>
    <col min="9987" max="9987" width="9.42578125" style="54" customWidth="1"/>
    <col min="9988" max="9988" width="11.42578125" style="54" customWidth="1"/>
    <col min="9989" max="9991" width="12.140625" style="54" customWidth="1"/>
    <col min="9992" max="9992" width="12.7109375" style="54" bestFit="1" customWidth="1"/>
    <col min="9993" max="9993" width="11.5703125" style="54" customWidth="1"/>
    <col min="9994" max="9994" width="11.42578125" style="54"/>
    <col min="9995" max="9995" width="11" style="54" customWidth="1"/>
    <col min="9996" max="9996" width="12.28515625" style="54" customWidth="1"/>
    <col min="9997" max="9997" width="11.5703125" style="54" customWidth="1"/>
    <col min="9998" max="9998" width="7.85546875" style="54" customWidth="1"/>
    <col min="9999" max="9999" width="8.140625" style="54" customWidth="1"/>
    <col min="10000" max="10000" width="8.42578125" style="54" customWidth="1"/>
    <col min="10001" max="10001" width="10.5703125" style="54" customWidth="1"/>
    <col min="10002" max="10002" width="9.140625" style="54" bestFit="1" customWidth="1"/>
    <col min="10003" max="10003" width="12.7109375" style="54" bestFit="1" customWidth="1"/>
    <col min="10004" max="10004" width="7.7109375" style="54" customWidth="1"/>
    <col min="10005" max="10005" width="7.85546875" style="54" customWidth="1"/>
    <col min="10006" max="10006" width="9.28515625" style="54" customWidth="1"/>
    <col min="10007" max="10007" width="8.42578125" style="54" customWidth="1"/>
    <col min="10008" max="10008" width="7.28515625" style="54" customWidth="1"/>
    <col min="10009" max="10009" width="7.5703125" style="54" customWidth="1"/>
    <col min="10010" max="10010" width="9.7109375" style="54" customWidth="1"/>
    <col min="10011" max="10011" width="8.85546875" style="54" customWidth="1"/>
    <col min="10012" max="10240" width="11.42578125" style="54"/>
    <col min="10241" max="10241" width="0" style="54" hidden="1" customWidth="1"/>
    <col min="10242" max="10242" width="13.140625" style="54" customWidth="1"/>
    <col min="10243" max="10243" width="9.42578125" style="54" customWidth="1"/>
    <col min="10244" max="10244" width="11.42578125" style="54" customWidth="1"/>
    <col min="10245" max="10247" width="12.140625" style="54" customWidth="1"/>
    <col min="10248" max="10248" width="12.7109375" style="54" bestFit="1" customWidth="1"/>
    <col min="10249" max="10249" width="11.5703125" style="54" customWidth="1"/>
    <col min="10250" max="10250" width="11.42578125" style="54"/>
    <col min="10251" max="10251" width="11" style="54" customWidth="1"/>
    <col min="10252" max="10252" width="12.28515625" style="54" customWidth="1"/>
    <col min="10253" max="10253" width="11.5703125" style="54" customWidth="1"/>
    <col min="10254" max="10254" width="7.85546875" style="54" customWidth="1"/>
    <col min="10255" max="10255" width="8.140625" style="54" customWidth="1"/>
    <col min="10256" max="10256" width="8.42578125" style="54" customWidth="1"/>
    <col min="10257" max="10257" width="10.5703125" style="54" customWidth="1"/>
    <col min="10258" max="10258" width="9.140625" style="54" bestFit="1" customWidth="1"/>
    <col min="10259" max="10259" width="12.7109375" style="54" bestFit="1" customWidth="1"/>
    <col min="10260" max="10260" width="7.7109375" style="54" customWidth="1"/>
    <col min="10261" max="10261" width="7.85546875" style="54" customWidth="1"/>
    <col min="10262" max="10262" width="9.28515625" style="54" customWidth="1"/>
    <col min="10263" max="10263" width="8.42578125" style="54" customWidth="1"/>
    <col min="10264" max="10264" width="7.28515625" style="54" customWidth="1"/>
    <col min="10265" max="10265" width="7.5703125" style="54" customWidth="1"/>
    <col min="10266" max="10266" width="9.7109375" style="54" customWidth="1"/>
    <col min="10267" max="10267" width="8.85546875" style="54" customWidth="1"/>
    <col min="10268" max="10496" width="11.42578125" style="54"/>
    <col min="10497" max="10497" width="0" style="54" hidden="1" customWidth="1"/>
    <col min="10498" max="10498" width="13.140625" style="54" customWidth="1"/>
    <col min="10499" max="10499" width="9.42578125" style="54" customWidth="1"/>
    <col min="10500" max="10500" width="11.42578125" style="54" customWidth="1"/>
    <col min="10501" max="10503" width="12.140625" style="54" customWidth="1"/>
    <col min="10504" max="10504" width="12.7109375" style="54" bestFit="1" customWidth="1"/>
    <col min="10505" max="10505" width="11.5703125" style="54" customWidth="1"/>
    <col min="10506" max="10506" width="11.42578125" style="54"/>
    <col min="10507" max="10507" width="11" style="54" customWidth="1"/>
    <col min="10508" max="10508" width="12.28515625" style="54" customWidth="1"/>
    <col min="10509" max="10509" width="11.5703125" style="54" customWidth="1"/>
    <col min="10510" max="10510" width="7.85546875" style="54" customWidth="1"/>
    <col min="10511" max="10511" width="8.140625" style="54" customWidth="1"/>
    <col min="10512" max="10512" width="8.42578125" style="54" customWidth="1"/>
    <col min="10513" max="10513" width="10.5703125" style="54" customWidth="1"/>
    <col min="10514" max="10514" width="9.140625" style="54" bestFit="1" customWidth="1"/>
    <col min="10515" max="10515" width="12.7109375" style="54" bestFit="1" customWidth="1"/>
    <col min="10516" max="10516" width="7.7109375" style="54" customWidth="1"/>
    <col min="10517" max="10517" width="7.85546875" style="54" customWidth="1"/>
    <col min="10518" max="10518" width="9.28515625" style="54" customWidth="1"/>
    <col min="10519" max="10519" width="8.42578125" style="54" customWidth="1"/>
    <col min="10520" max="10520" width="7.28515625" style="54" customWidth="1"/>
    <col min="10521" max="10521" width="7.5703125" style="54" customWidth="1"/>
    <col min="10522" max="10522" width="9.7109375" style="54" customWidth="1"/>
    <col min="10523" max="10523" width="8.85546875" style="54" customWidth="1"/>
    <col min="10524" max="10752" width="11.42578125" style="54"/>
    <col min="10753" max="10753" width="0" style="54" hidden="1" customWidth="1"/>
    <col min="10754" max="10754" width="13.140625" style="54" customWidth="1"/>
    <col min="10755" max="10755" width="9.42578125" style="54" customWidth="1"/>
    <col min="10756" max="10756" width="11.42578125" style="54" customWidth="1"/>
    <col min="10757" max="10759" width="12.140625" style="54" customWidth="1"/>
    <col min="10760" max="10760" width="12.7109375" style="54" bestFit="1" customWidth="1"/>
    <col min="10761" max="10761" width="11.5703125" style="54" customWidth="1"/>
    <col min="10762" max="10762" width="11.42578125" style="54"/>
    <col min="10763" max="10763" width="11" style="54" customWidth="1"/>
    <col min="10764" max="10764" width="12.28515625" style="54" customWidth="1"/>
    <col min="10765" max="10765" width="11.5703125" style="54" customWidth="1"/>
    <col min="10766" max="10766" width="7.85546875" style="54" customWidth="1"/>
    <col min="10767" max="10767" width="8.140625" style="54" customWidth="1"/>
    <col min="10768" max="10768" width="8.42578125" style="54" customWidth="1"/>
    <col min="10769" max="10769" width="10.5703125" style="54" customWidth="1"/>
    <col min="10770" max="10770" width="9.140625" style="54" bestFit="1" customWidth="1"/>
    <col min="10771" max="10771" width="12.7109375" style="54" bestFit="1" customWidth="1"/>
    <col min="10772" max="10772" width="7.7109375" style="54" customWidth="1"/>
    <col min="10773" max="10773" width="7.85546875" style="54" customWidth="1"/>
    <col min="10774" max="10774" width="9.28515625" style="54" customWidth="1"/>
    <col min="10775" max="10775" width="8.42578125" style="54" customWidth="1"/>
    <col min="10776" max="10776" width="7.28515625" style="54" customWidth="1"/>
    <col min="10777" max="10777" width="7.5703125" style="54" customWidth="1"/>
    <col min="10778" max="10778" width="9.7109375" style="54" customWidth="1"/>
    <col min="10779" max="10779" width="8.85546875" style="54" customWidth="1"/>
    <col min="10780" max="11008" width="11.42578125" style="54"/>
    <col min="11009" max="11009" width="0" style="54" hidden="1" customWidth="1"/>
    <col min="11010" max="11010" width="13.140625" style="54" customWidth="1"/>
    <col min="11011" max="11011" width="9.42578125" style="54" customWidth="1"/>
    <col min="11012" max="11012" width="11.42578125" style="54" customWidth="1"/>
    <col min="11013" max="11015" width="12.140625" style="54" customWidth="1"/>
    <col min="11016" max="11016" width="12.7109375" style="54" bestFit="1" customWidth="1"/>
    <col min="11017" max="11017" width="11.5703125" style="54" customWidth="1"/>
    <col min="11018" max="11018" width="11.42578125" style="54"/>
    <col min="11019" max="11019" width="11" style="54" customWidth="1"/>
    <col min="11020" max="11020" width="12.28515625" style="54" customWidth="1"/>
    <col min="11021" max="11021" width="11.5703125" style="54" customWidth="1"/>
    <col min="11022" max="11022" width="7.85546875" style="54" customWidth="1"/>
    <col min="11023" max="11023" width="8.140625" style="54" customWidth="1"/>
    <col min="11024" max="11024" width="8.42578125" style="54" customWidth="1"/>
    <col min="11025" max="11025" width="10.5703125" style="54" customWidth="1"/>
    <col min="11026" max="11026" width="9.140625" style="54" bestFit="1" customWidth="1"/>
    <col min="11027" max="11027" width="12.7109375" style="54" bestFit="1" customWidth="1"/>
    <col min="11028" max="11028" width="7.7109375" style="54" customWidth="1"/>
    <col min="11029" max="11029" width="7.85546875" style="54" customWidth="1"/>
    <col min="11030" max="11030" width="9.28515625" style="54" customWidth="1"/>
    <col min="11031" max="11031" width="8.42578125" style="54" customWidth="1"/>
    <col min="11032" max="11032" width="7.28515625" style="54" customWidth="1"/>
    <col min="11033" max="11033" width="7.5703125" style="54" customWidth="1"/>
    <col min="11034" max="11034" width="9.7109375" style="54" customWidth="1"/>
    <col min="11035" max="11035" width="8.85546875" style="54" customWidth="1"/>
    <col min="11036" max="11264" width="11.42578125" style="54"/>
    <col min="11265" max="11265" width="0" style="54" hidden="1" customWidth="1"/>
    <col min="11266" max="11266" width="13.140625" style="54" customWidth="1"/>
    <col min="11267" max="11267" width="9.42578125" style="54" customWidth="1"/>
    <col min="11268" max="11268" width="11.42578125" style="54" customWidth="1"/>
    <col min="11269" max="11271" width="12.140625" style="54" customWidth="1"/>
    <col min="11272" max="11272" width="12.7109375" style="54" bestFit="1" customWidth="1"/>
    <col min="11273" max="11273" width="11.5703125" style="54" customWidth="1"/>
    <col min="11274" max="11274" width="11.42578125" style="54"/>
    <col min="11275" max="11275" width="11" style="54" customWidth="1"/>
    <col min="11276" max="11276" width="12.28515625" style="54" customWidth="1"/>
    <col min="11277" max="11277" width="11.5703125" style="54" customWidth="1"/>
    <col min="11278" max="11278" width="7.85546875" style="54" customWidth="1"/>
    <col min="11279" max="11279" width="8.140625" style="54" customWidth="1"/>
    <col min="11280" max="11280" width="8.42578125" style="54" customWidth="1"/>
    <col min="11281" max="11281" width="10.5703125" style="54" customWidth="1"/>
    <col min="11282" max="11282" width="9.140625" style="54" bestFit="1" customWidth="1"/>
    <col min="11283" max="11283" width="12.7109375" style="54" bestFit="1" customWidth="1"/>
    <col min="11284" max="11284" width="7.7109375" style="54" customWidth="1"/>
    <col min="11285" max="11285" width="7.85546875" style="54" customWidth="1"/>
    <col min="11286" max="11286" width="9.28515625" style="54" customWidth="1"/>
    <col min="11287" max="11287" width="8.42578125" style="54" customWidth="1"/>
    <col min="11288" max="11288" width="7.28515625" style="54" customWidth="1"/>
    <col min="11289" max="11289" width="7.5703125" style="54" customWidth="1"/>
    <col min="11290" max="11290" width="9.7109375" style="54" customWidth="1"/>
    <col min="11291" max="11291" width="8.85546875" style="54" customWidth="1"/>
    <col min="11292" max="11520" width="11.42578125" style="54"/>
    <col min="11521" max="11521" width="0" style="54" hidden="1" customWidth="1"/>
    <col min="11522" max="11522" width="13.140625" style="54" customWidth="1"/>
    <col min="11523" max="11523" width="9.42578125" style="54" customWidth="1"/>
    <col min="11524" max="11524" width="11.42578125" style="54" customWidth="1"/>
    <col min="11525" max="11527" width="12.140625" style="54" customWidth="1"/>
    <col min="11528" max="11528" width="12.7109375" style="54" bestFit="1" customWidth="1"/>
    <col min="11529" max="11529" width="11.5703125" style="54" customWidth="1"/>
    <col min="11530" max="11530" width="11.42578125" style="54"/>
    <col min="11531" max="11531" width="11" style="54" customWidth="1"/>
    <col min="11532" max="11532" width="12.28515625" style="54" customWidth="1"/>
    <col min="11533" max="11533" width="11.5703125" style="54" customWidth="1"/>
    <col min="11534" max="11534" width="7.85546875" style="54" customWidth="1"/>
    <col min="11535" max="11535" width="8.140625" style="54" customWidth="1"/>
    <col min="11536" max="11536" width="8.42578125" style="54" customWidth="1"/>
    <col min="11537" max="11537" width="10.5703125" style="54" customWidth="1"/>
    <col min="11538" max="11538" width="9.140625" style="54" bestFit="1" customWidth="1"/>
    <col min="11539" max="11539" width="12.7109375" style="54" bestFit="1" customWidth="1"/>
    <col min="11540" max="11540" width="7.7109375" style="54" customWidth="1"/>
    <col min="11541" max="11541" width="7.85546875" style="54" customWidth="1"/>
    <col min="11542" max="11542" width="9.28515625" style="54" customWidth="1"/>
    <col min="11543" max="11543" width="8.42578125" style="54" customWidth="1"/>
    <col min="11544" max="11544" width="7.28515625" style="54" customWidth="1"/>
    <col min="11545" max="11545" width="7.5703125" style="54" customWidth="1"/>
    <col min="11546" max="11546" width="9.7109375" style="54" customWidth="1"/>
    <col min="11547" max="11547" width="8.85546875" style="54" customWidth="1"/>
    <col min="11548" max="11776" width="11.42578125" style="54"/>
    <col min="11777" max="11777" width="0" style="54" hidden="1" customWidth="1"/>
    <col min="11778" max="11778" width="13.140625" style="54" customWidth="1"/>
    <col min="11779" max="11779" width="9.42578125" style="54" customWidth="1"/>
    <col min="11780" max="11780" width="11.42578125" style="54" customWidth="1"/>
    <col min="11781" max="11783" width="12.140625" style="54" customWidth="1"/>
    <col min="11784" max="11784" width="12.7109375" style="54" bestFit="1" customWidth="1"/>
    <col min="11785" max="11785" width="11.5703125" style="54" customWidth="1"/>
    <col min="11786" max="11786" width="11.42578125" style="54"/>
    <col min="11787" max="11787" width="11" style="54" customWidth="1"/>
    <col min="11788" max="11788" width="12.28515625" style="54" customWidth="1"/>
    <col min="11789" max="11789" width="11.5703125" style="54" customWidth="1"/>
    <col min="11790" max="11790" width="7.85546875" style="54" customWidth="1"/>
    <col min="11791" max="11791" width="8.140625" style="54" customWidth="1"/>
    <col min="11792" max="11792" width="8.42578125" style="54" customWidth="1"/>
    <col min="11793" max="11793" width="10.5703125" style="54" customWidth="1"/>
    <col min="11794" max="11794" width="9.140625" style="54" bestFit="1" customWidth="1"/>
    <col min="11795" max="11795" width="12.7109375" style="54" bestFit="1" customWidth="1"/>
    <col min="11796" max="11796" width="7.7109375" style="54" customWidth="1"/>
    <col min="11797" max="11797" width="7.85546875" style="54" customWidth="1"/>
    <col min="11798" max="11798" width="9.28515625" style="54" customWidth="1"/>
    <col min="11799" max="11799" width="8.42578125" style="54" customWidth="1"/>
    <col min="11800" max="11800" width="7.28515625" style="54" customWidth="1"/>
    <col min="11801" max="11801" width="7.5703125" style="54" customWidth="1"/>
    <col min="11802" max="11802" width="9.7109375" style="54" customWidth="1"/>
    <col min="11803" max="11803" width="8.85546875" style="54" customWidth="1"/>
    <col min="11804" max="12032" width="11.42578125" style="54"/>
    <col min="12033" max="12033" width="0" style="54" hidden="1" customWidth="1"/>
    <col min="12034" max="12034" width="13.140625" style="54" customWidth="1"/>
    <col min="12035" max="12035" width="9.42578125" style="54" customWidth="1"/>
    <col min="12036" max="12036" width="11.42578125" style="54" customWidth="1"/>
    <col min="12037" max="12039" width="12.140625" style="54" customWidth="1"/>
    <col min="12040" max="12040" width="12.7109375" style="54" bestFit="1" customWidth="1"/>
    <col min="12041" max="12041" width="11.5703125" style="54" customWidth="1"/>
    <col min="12042" max="12042" width="11.42578125" style="54"/>
    <col min="12043" max="12043" width="11" style="54" customWidth="1"/>
    <col min="12044" max="12044" width="12.28515625" style="54" customWidth="1"/>
    <col min="12045" max="12045" width="11.5703125" style="54" customWidth="1"/>
    <col min="12046" max="12046" width="7.85546875" style="54" customWidth="1"/>
    <col min="12047" max="12047" width="8.140625" style="54" customWidth="1"/>
    <col min="12048" max="12048" width="8.42578125" style="54" customWidth="1"/>
    <col min="12049" max="12049" width="10.5703125" style="54" customWidth="1"/>
    <col min="12050" max="12050" width="9.140625" style="54" bestFit="1" customWidth="1"/>
    <col min="12051" max="12051" width="12.7109375" style="54" bestFit="1" customWidth="1"/>
    <col min="12052" max="12052" width="7.7109375" style="54" customWidth="1"/>
    <col min="12053" max="12053" width="7.85546875" style="54" customWidth="1"/>
    <col min="12054" max="12054" width="9.28515625" style="54" customWidth="1"/>
    <col min="12055" max="12055" width="8.42578125" style="54" customWidth="1"/>
    <col min="12056" max="12056" width="7.28515625" style="54" customWidth="1"/>
    <col min="12057" max="12057" width="7.5703125" style="54" customWidth="1"/>
    <col min="12058" max="12058" width="9.7109375" style="54" customWidth="1"/>
    <col min="12059" max="12059" width="8.85546875" style="54" customWidth="1"/>
    <col min="12060" max="12288" width="11.42578125" style="54"/>
    <col min="12289" max="12289" width="0" style="54" hidden="1" customWidth="1"/>
    <col min="12290" max="12290" width="13.140625" style="54" customWidth="1"/>
    <col min="12291" max="12291" width="9.42578125" style="54" customWidth="1"/>
    <col min="12292" max="12292" width="11.42578125" style="54" customWidth="1"/>
    <col min="12293" max="12295" width="12.140625" style="54" customWidth="1"/>
    <col min="12296" max="12296" width="12.7109375" style="54" bestFit="1" customWidth="1"/>
    <col min="12297" max="12297" width="11.5703125" style="54" customWidth="1"/>
    <col min="12298" max="12298" width="11.42578125" style="54"/>
    <col min="12299" max="12299" width="11" style="54" customWidth="1"/>
    <col min="12300" max="12300" width="12.28515625" style="54" customWidth="1"/>
    <col min="12301" max="12301" width="11.5703125" style="54" customWidth="1"/>
    <col min="12302" max="12302" width="7.85546875" style="54" customWidth="1"/>
    <col min="12303" max="12303" width="8.140625" style="54" customWidth="1"/>
    <col min="12304" max="12304" width="8.42578125" style="54" customWidth="1"/>
    <col min="12305" max="12305" width="10.5703125" style="54" customWidth="1"/>
    <col min="12306" max="12306" width="9.140625" style="54" bestFit="1" customWidth="1"/>
    <col min="12307" max="12307" width="12.7109375" style="54" bestFit="1" customWidth="1"/>
    <col min="12308" max="12308" width="7.7109375" style="54" customWidth="1"/>
    <col min="12309" max="12309" width="7.85546875" style="54" customWidth="1"/>
    <col min="12310" max="12310" width="9.28515625" style="54" customWidth="1"/>
    <col min="12311" max="12311" width="8.42578125" style="54" customWidth="1"/>
    <col min="12312" max="12312" width="7.28515625" style="54" customWidth="1"/>
    <col min="12313" max="12313" width="7.5703125" style="54" customWidth="1"/>
    <col min="12314" max="12314" width="9.7109375" style="54" customWidth="1"/>
    <col min="12315" max="12315" width="8.85546875" style="54" customWidth="1"/>
    <col min="12316" max="12544" width="11.42578125" style="54"/>
    <col min="12545" max="12545" width="0" style="54" hidden="1" customWidth="1"/>
    <col min="12546" max="12546" width="13.140625" style="54" customWidth="1"/>
    <col min="12547" max="12547" width="9.42578125" style="54" customWidth="1"/>
    <col min="12548" max="12548" width="11.42578125" style="54" customWidth="1"/>
    <col min="12549" max="12551" width="12.140625" style="54" customWidth="1"/>
    <col min="12552" max="12552" width="12.7109375" style="54" bestFit="1" customWidth="1"/>
    <col min="12553" max="12553" width="11.5703125" style="54" customWidth="1"/>
    <col min="12554" max="12554" width="11.42578125" style="54"/>
    <col min="12555" max="12555" width="11" style="54" customWidth="1"/>
    <col min="12556" max="12556" width="12.28515625" style="54" customWidth="1"/>
    <col min="12557" max="12557" width="11.5703125" style="54" customWidth="1"/>
    <col min="12558" max="12558" width="7.85546875" style="54" customWidth="1"/>
    <col min="12559" max="12559" width="8.140625" style="54" customWidth="1"/>
    <col min="12560" max="12560" width="8.42578125" style="54" customWidth="1"/>
    <col min="12561" max="12561" width="10.5703125" style="54" customWidth="1"/>
    <col min="12562" max="12562" width="9.140625" style="54" bestFit="1" customWidth="1"/>
    <col min="12563" max="12563" width="12.7109375" style="54" bestFit="1" customWidth="1"/>
    <col min="12564" max="12564" width="7.7109375" style="54" customWidth="1"/>
    <col min="12565" max="12565" width="7.85546875" style="54" customWidth="1"/>
    <col min="12566" max="12566" width="9.28515625" style="54" customWidth="1"/>
    <col min="12567" max="12567" width="8.42578125" style="54" customWidth="1"/>
    <col min="12568" max="12568" width="7.28515625" style="54" customWidth="1"/>
    <col min="12569" max="12569" width="7.5703125" style="54" customWidth="1"/>
    <col min="12570" max="12570" width="9.7109375" style="54" customWidth="1"/>
    <col min="12571" max="12571" width="8.85546875" style="54" customWidth="1"/>
    <col min="12572" max="12800" width="11.42578125" style="54"/>
    <col min="12801" max="12801" width="0" style="54" hidden="1" customWidth="1"/>
    <col min="12802" max="12802" width="13.140625" style="54" customWidth="1"/>
    <col min="12803" max="12803" width="9.42578125" style="54" customWidth="1"/>
    <col min="12804" max="12804" width="11.42578125" style="54" customWidth="1"/>
    <col min="12805" max="12807" width="12.140625" style="54" customWidth="1"/>
    <col min="12808" max="12808" width="12.7109375" style="54" bestFit="1" customWidth="1"/>
    <col min="12809" max="12809" width="11.5703125" style="54" customWidth="1"/>
    <col min="12810" max="12810" width="11.42578125" style="54"/>
    <col min="12811" max="12811" width="11" style="54" customWidth="1"/>
    <col min="12812" max="12812" width="12.28515625" style="54" customWidth="1"/>
    <col min="12813" max="12813" width="11.5703125" style="54" customWidth="1"/>
    <col min="12814" max="12814" width="7.85546875" style="54" customWidth="1"/>
    <col min="12815" max="12815" width="8.140625" style="54" customWidth="1"/>
    <col min="12816" max="12816" width="8.42578125" style="54" customWidth="1"/>
    <col min="12817" max="12817" width="10.5703125" style="54" customWidth="1"/>
    <col min="12818" max="12818" width="9.140625" style="54" bestFit="1" customWidth="1"/>
    <col min="12819" max="12819" width="12.7109375" style="54" bestFit="1" customWidth="1"/>
    <col min="12820" max="12820" width="7.7109375" style="54" customWidth="1"/>
    <col min="12821" max="12821" width="7.85546875" style="54" customWidth="1"/>
    <col min="12822" max="12822" width="9.28515625" style="54" customWidth="1"/>
    <col min="12823" max="12823" width="8.42578125" style="54" customWidth="1"/>
    <col min="12824" max="12824" width="7.28515625" style="54" customWidth="1"/>
    <col min="12825" max="12825" width="7.5703125" style="54" customWidth="1"/>
    <col min="12826" max="12826" width="9.7109375" style="54" customWidth="1"/>
    <col min="12827" max="12827" width="8.85546875" style="54" customWidth="1"/>
    <col min="12828" max="13056" width="11.42578125" style="54"/>
    <col min="13057" max="13057" width="0" style="54" hidden="1" customWidth="1"/>
    <col min="13058" max="13058" width="13.140625" style="54" customWidth="1"/>
    <col min="13059" max="13059" width="9.42578125" style="54" customWidth="1"/>
    <col min="13060" max="13060" width="11.42578125" style="54" customWidth="1"/>
    <col min="13061" max="13063" width="12.140625" style="54" customWidth="1"/>
    <col min="13064" max="13064" width="12.7109375" style="54" bestFit="1" customWidth="1"/>
    <col min="13065" max="13065" width="11.5703125" style="54" customWidth="1"/>
    <col min="13066" max="13066" width="11.42578125" style="54"/>
    <col min="13067" max="13067" width="11" style="54" customWidth="1"/>
    <col min="13068" max="13068" width="12.28515625" style="54" customWidth="1"/>
    <col min="13069" max="13069" width="11.5703125" style="54" customWidth="1"/>
    <col min="13070" max="13070" width="7.85546875" style="54" customWidth="1"/>
    <col min="13071" max="13071" width="8.140625" style="54" customWidth="1"/>
    <col min="13072" max="13072" width="8.42578125" style="54" customWidth="1"/>
    <col min="13073" max="13073" width="10.5703125" style="54" customWidth="1"/>
    <col min="13074" max="13074" width="9.140625" style="54" bestFit="1" customWidth="1"/>
    <col min="13075" max="13075" width="12.7109375" style="54" bestFit="1" customWidth="1"/>
    <col min="13076" max="13076" width="7.7109375" style="54" customWidth="1"/>
    <col min="13077" max="13077" width="7.85546875" style="54" customWidth="1"/>
    <col min="13078" max="13078" width="9.28515625" style="54" customWidth="1"/>
    <col min="13079" max="13079" width="8.42578125" style="54" customWidth="1"/>
    <col min="13080" max="13080" width="7.28515625" style="54" customWidth="1"/>
    <col min="13081" max="13081" width="7.5703125" style="54" customWidth="1"/>
    <col min="13082" max="13082" width="9.7109375" style="54" customWidth="1"/>
    <col min="13083" max="13083" width="8.85546875" style="54" customWidth="1"/>
    <col min="13084" max="13312" width="11.42578125" style="54"/>
    <col min="13313" max="13313" width="0" style="54" hidden="1" customWidth="1"/>
    <col min="13314" max="13314" width="13.140625" style="54" customWidth="1"/>
    <col min="13315" max="13315" width="9.42578125" style="54" customWidth="1"/>
    <col min="13316" max="13316" width="11.42578125" style="54" customWidth="1"/>
    <col min="13317" max="13319" width="12.140625" style="54" customWidth="1"/>
    <col min="13320" max="13320" width="12.7109375" style="54" bestFit="1" customWidth="1"/>
    <col min="13321" max="13321" width="11.5703125" style="54" customWidth="1"/>
    <col min="13322" max="13322" width="11.42578125" style="54"/>
    <col min="13323" max="13323" width="11" style="54" customWidth="1"/>
    <col min="13324" max="13324" width="12.28515625" style="54" customWidth="1"/>
    <col min="13325" max="13325" width="11.5703125" style="54" customWidth="1"/>
    <col min="13326" max="13326" width="7.85546875" style="54" customWidth="1"/>
    <col min="13327" max="13327" width="8.140625" style="54" customWidth="1"/>
    <col min="13328" max="13328" width="8.42578125" style="54" customWidth="1"/>
    <col min="13329" max="13329" width="10.5703125" style="54" customWidth="1"/>
    <col min="13330" max="13330" width="9.140625" style="54" bestFit="1" customWidth="1"/>
    <col min="13331" max="13331" width="12.7109375" style="54" bestFit="1" customWidth="1"/>
    <col min="13332" max="13332" width="7.7109375" style="54" customWidth="1"/>
    <col min="13333" max="13333" width="7.85546875" style="54" customWidth="1"/>
    <col min="13334" max="13334" width="9.28515625" style="54" customWidth="1"/>
    <col min="13335" max="13335" width="8.42578125" style="54" customWidth="1"/>
    <col min="13336" max="13336" width="7.28515625" style="54" customWidth="1"/>
    <col min="13337" max="13337" width="7.5703125" style="54" customWidth="1"/>
    <col min="13338" max="13338" width="9.7109375" style="54" customWidth="1"/>
    <col min="13339" max="13339" width="8.85546875" style="54" customWidth="1"/>
    <col min="13340" max="13568" width="11.42578125" style="54"/>
    <col min="13569" max="13569" width="0" style="54" hidden="1" customWidth="1"/>
    <col min="13570" max="13570" width="13.140625" style="54" customWidth="1"/>
    <col min="13571" max="13571" width="9.42578125" style="54" customWidth="1"/>
    <col min="13572" max="13572" width="11.42578125" style="54" customWidth="1"/>
    <col min="13573" max="13575" width="12.140625" style="54" customWidth="1"/>
    <col min="13576" max="13576" width="12.7109375" style="54" bestFit="1" customWidth="1"/>
    <col min="13577" max="13577" width="11.5703125" style="54" customWidth="1"/>
    <col min="13578" max="13578" width="11.42578125" style="54"/>
    <col min="13579" max="13579" width="11" style="54" customWidth="1"/>
    <col min="13580" max="13580" width="12.28515625" style="54" customWidth="1"/>
    <col min="13581" max="13581" width="11.5703125" style="54" customWidth="1"/>
    <col min="13582" max="13582" width="7.85546875" style="54" customWidth="1"/>
    <col min="13583" max="13583" width="8.140625" style="54" customWidth="1"/>
    <col min="13584" max="13584" width="8.42578125" style="54" customWidth="1"/>
    <col min="13585" max="13585" width="10.5703125" style="54" customWidth="1"/>
    <col min="13586" max="13586" width="9.140625" style="54" bestFit="1" customWidth="1"/>
    <col min="13587" max="13587" width="12.7109375" style="54" bestFit="1" customWidth="1"/>
    <col min="13588" max="13588" width="7.7109375" style="54" customWidth="1"/>
    <col min="13589" max="13589" width="7.85546875" style="54" customWidth="1"/>
    <col min="13590" max="13590" width="9.28515625" style="54" customWidth="1"/>
    <col min="13591" max="13591" width="8.42578125" style="54" customWidth="1"/>
    <col min="13592" max="13592" width="7.28515625" style="54" customWidth="1"/>
    <col min="13593" max="13593" width="7.5703125" style="54" customWidth="1"/>
    <col min="13594" max="13594" width="9.7109375" style="54" customWidth="1"/>
    <col min="13595" max="13595" width="8.85546875" style="54" customWidth="1"/>
    <col min="13596" max="13824" width="11.42578125" style="54"/>
    <col min="13825" max="13825" width="0" style="54" hidden="1" customWidth="1"/>
    <col min="13826" max="13826" width="13.140625" style="54" customWidth="1"/>
    <col min="13827" max="13827" width="9.42578125" style="54" customWidth="1"/>
    <col min="13828" max="13828" width="11.42578125" style="54" customWidth="1"/>
    <col min="13829" max="13831" width="12.140625" style="54" customWidth="1"/>
    <col min="13832" max="13832" width="12.7109375" style="54" bestFit="1" customWidth="1"/>
    <col min="13833" max="13833" width="11.5703125" style="54" customWidth="1"/>
    <col min="13834" max="13834" width="11.42578125" style="54"/>
    <col min="13835" max="13835" width="11" style="54" customWidth="1"/>
    <col min="13836" max="13836" width="12.28515625" style="54" customWidth="1"/>
    <col min="13837" max="13837" width="11.5703125" style="54" customWidth="1"/>
    <col min="13838" max="13838" width="7.85546875" style="54" customWidth="1"/>
    <col min="13839" max="13839" width="8.140625" style="54" customWidth="1"/>
    <col min="13840" max="13840" width="8.42578125" style="54" customWidth="1"/>
    <col min="13841" max="13841" width="10.5703125" style="54" customWidth="1"/>
    <col min="13842" max="13842" width="9.140625" style="54" bestFit="1" customWidth="1"/>
    <col min="13843" max="13843" width="12.7109375" style="54" bestFit="1" customWidth="1"/>
    <col min="13844" max="13844" width="7.7109375" style="54" customWidth="1"/>
    <col min="13845" max="13845" width="7.85546875" style="54" customWidth="1"/>
    <col min="13846" max="13846" width="9.28515625" style="54" customWidth="1"/>
    <col min="13847" max="13847" width="8.42578125" style="54" customWidth="1"/>
    <col min="13848" max="13848" width="7.28515625" style="54" customWidth="1"/>
    <col min="13849" max="13849" width="7.5703125" style="54" customWidth="1"/>
    <col min="13850" max="13850" width="9.7109375" style="54" customWidth="1"/>
    <col min="13851" max="13851" width="8.85546875" style="54" customWidth="1"/>
    <col min="13852" max="14080" width="11.42578125" style="54"/>
    <col min="14081" max="14081" width="0" style="54" hidden="1" customWidth="1"/>
    <col min="14082" max="14082" width="13.140625" style="54" customWidth="1"/>
    <col min="14083" max="14083" width="9.42578125" style="54" customWidth="1"/>
    <col min="14084" max="14084" width="11.42578125" style="54" customWidth="1"/>
    <col min="14085" max="14087" width="12.140625" style="54" customWidth="1"/>
    <col min="14088" max="14088" width="12.7109375" style="54" bestFit="1" customWidth="1"/>
    <col min="14089" max="14089" width="11.5703125" style="54" customWidth="1"/>
    <col min="14090" max="14090" width="11.42578125" style="54"/>
    <col min="14091" max="14091" width="11" style="54" customWidth="1"/>
    <col min="14092" max="14092" width="12.28515625" style="54" customWidth="1"/>
    <col min="14093" max="14093" width="11.5703125" style="54" customWidth="1"/>
    <col min="14094" max="14094" width="7.85546875" style="54" customWidth="1"/>
    <col min="14095" max="14095" width="8.140625" style="54" customWidth="1"/>
    <col min="14096" max="14096" width="8.42578125" style="54" customWidth="1"/>
    <col min="14097" max="14097" width="10.5703125" style="54" customWidth="1"/>
    <col min="14098" max="14098" width="9.140625" style="54" bestFit="1" customWidth="1"/>
    <col min="14099" max="14099" width="12.7109375" style="54" bestFit="1" customWidth="1"/>
    <col min="14100" max="14100" width="7.7109375" style="54" customWidth="1"/>
    <col min="14101" max="14101" width="7.85546875" style="54" customWidth="1"/>
    <col min="14102" max="14102" width="9.28515625" style="54" customWidth="1"/>
    <col min="14103" max="14103" width="8.42578125" style="54" customWidth="1"/>
    <col min="14104" max="14104" width="7.28515625" style="54" customWidth="1"/>
    <col min="14105" max="14105" width="7.5703125" style="54" customWidth="1"/>
    <col min="14106" max="14106" width="9.7109375" style="54" customWidth="1"/>
    <col min="14107" max="14107" width="8.85546875" style="54" customWidth="1"/>
    <col min="14108" max="14336" width="11.42578125" style="54"/>
    <col min="14337" max="14337" width="0" style="54" hidden="1" customWidth="1"/>
    <col min="14338" max="14338" width="13.140625" style="54" customWidth="1"/>
    <col min="14339" max="14339" width="9.42578125" style="54" customWidth="1"/>
    <col min="14340" max="14340" width="11.42578125" style="54" customWidth="1"/>
    <col min="14341" max="14343" width="12.140625" style="54" customWidth="1"/>
    <col min="14344" max="14344" width="12.7109375" style="54" bestFit="1" customWidth="1"/>
    <col min="14345" max="14345" width="11.5703125" style="54" customWidth="1"/>
    <col min="14346" max="14346" width="11.42578125" style="54"/>
    <col min="14347" max="14347" width="11" style="54" customWidth="1"/>
    <col min="14348" max="14348" width="12.28515625" style="54" customWidth="1"/>
    <col min="14349" max="14349" width="11.5703125" style="54" customWidth="1"/>
    <col min="14350" max="14350" width="7.85546875" style="54" customWidth="1"/>
    <col min="14351" max="14351" width="8.140625" style="54" customWidth="1"/>
    <col min="14352" max="14352" width="8.42578125" style="54" customWidth="1"/>
    <col min="14353" max="14353" width="10.5703125" style="54" customWidth="1"/>
    <col min="14354" max="14354" width="9.140625" style="54" bestFit="1" customWidth="1"/>
    <col min="14355" max="14355" width="12.7109375" style="54" bestFit="1" customWidth="1"/>
    <col min="14356" max="14356" width="7.7109375" style="54" customWidth="1"/>
    <col min="14357" max="14357" width="7.85546875" style="54" customWidth="1"/>
    <col min="14358" max="14358" width="9.28515625" style="54" customWidth="1"/>
    <col min="14359" max="14359" width="8.42578125" style="54" customWidth="1"/>
    <col min="14360" max="14360" width="7.28515625" style="54" customWidth="1"/>
    <col min="14361" max="14361" width="7.5703125" style="54" customWidth="1"/>
    <col min="14362" max="14362" width="9.7109375" style="54" customWidth="1"/>
    <col min="14363" max="14363" width="8.85546875" style="54" customWidth="1"/>
    <col min="14364" max="14592" width="11.42578125" style="54"/>
    <col min="14593" max="14593" width="0" style="54" hidden="1" customWidth="1"/>
    <col min="14594" max="14594" width="13.140625" style="54" customWidth="1"/>
    <col min="14595" max="14595" width="9.42578125" style="54" customWidth="1"/>
    <col min="14596" max="14596" width="11.42578125" style="54" customWidth="1"/>
    <col min="14597" max="14599" width="12.140625" style="54" customWidth="1"/>
    <col min="14600" max="14600" width="12.7109375" style="54" bestFit="1" customWidth="1"/>
    <col min="14601" max="14601" width="11.5703125" style="54" customWidth="1"/>
    <col min="14602" max="14602" width="11.42578125" style="54"/>
    <col min="14603" max="14603" width="11" style="54" customWidth="1"/>
    <col min="14604" max="14604" width="12.28515625" style="54" customWidth="1"/>
    <col min="14605" max="14605" width="11.5703125" style="54" customWidth="1"/>
    <col min="14606" max="14606" width="7.85546875" style="54" customWidth="1"/>
    <col min="14607" max="14607" width="8.140625" style="54" customWidth="1"/>
    <col min="14608" max="14608" width="8.42578125" style="54" customWidth="1"/>
    <col min="14609" max="14609" width="10.5703125" style="54" customWidth="1"/>
    <col min="14610" max="14610" width="9.140625" style="54" bestFit="1" customWidth="1"/>
    <col min="14611" max="14611" width="12.7109375" style="54" bestFit="1" customWidth="1"/>
    <col min="14612" max="14612" width="7.7109375" style="54" customWidth="1"/>
    <col min="14613" max="14613" width="7.85546875" style="54" customWidth="1"/>
    <col min="14614" max="14614" width="9.28515625" style="54" customWidth="1"/>
    <col min="14615" max="14615" width="8.42578125" style="54" customWidth="1"/>
    <col min="14616" max="14616" width="7.28515625" style="54" customWidth="1"/>
    <col min="14617" max="14617" width="7.5703125" style="54" customWidth="1"/>
    <col min="14618" max="14618" width="9.7109375" style="54" customWidth="1"/>
    <col min="14619" max="14619" width="8.85546875" style="54" customWidth="1"/>
    <col min="14620" max="14848" width="11.42578125" style="54"/>
    <col min="14849" max="14849" width="0" style="54" hidden="1" customWidth="1"/>
    <col min="14850" max="14850" width="13.140625" style="54" customWidth="1"/>
    <col min="14851" max="14851" width="9.42578125" style="54" customWidth="1"/>
    <col min="14852" max="14852" width="11.42578125" style="54" customWidth="1"/>
    <col min="14853" max="14855" width="12.140625" style="54" customWidth="1"/>
    <col min="14856" max="14856" width="12.7109375" style="54" bestFit="1" customWidth="1"/>
    <col min="14857" max="14857" width="11.5703125" style="54" customWidth="1"/>
    <col min="14858" max="14858" width="11.42578125" style="54"/>
    <col min="14859" max="14859" width="11" style="54" customWidth="1"/>
    <col min="14860" max="14860" width="12.28515625" style="54" customWidth="1"/>
    <col min="14861" max="14861" width="11.5703125" style="54" customWidth="1"/>
    <col min="14862" max="14862" width="7.85546875" style="54" customWidth="1"/>
    <col min="14863" max="14863" width="8.140625" style="54" customWidth="1"/>
    <col min="14864" max="14864" width="8.42578125" style="54" customWidth="1"/>
    <col min="14865" max="14865" width="10.5703125" style="54" customWidth="1"/>
    <col min="14866" max="14866" width="9.140625" style="54" bestFit="1" customWidth="1"/>
    <col min="14867" max="14867" width="12.7109375" style="54" bestFit="1" customWidth="1"/>
    <col min="14868" max="14868" width="7.7109375" style="54" customWidth="1"/>
    <col min="14869" max="14869" width="7.85546875" style="54" customWidth="1"/>
    <col min="14870" max="14870" width="9.28515625" style="54" customWidth="1"/>
    <col min="14871" max="14871" width="8.42578125" style="54" customWidth="1"/>
    <col min="14872" max="14872" width="7.28515625" style="54" customWidth="1"/>
    <col min="14873" max="14873" width="7.5703125" style="54" customWidth="1"/>
    <col min="14874" max="14874" width="9.7109375" style="54" customWidth="1"/>
    <col min="14875" max="14875" width="8.85546875" style="54" customWidth="1"/>
    <col min="14876" max="15104" width="11.42578125" style="54"/>
    <col min="15105" max="15105" width="0" style="54" hidden="1" customWidth="1"/>
    <col min="15106" max="15106" width="13.140625" style="54" customWidth="1"/>
    <col min="15107" max="15107" width="9.42578125" style="54" customWidth="1"/>
    <col min="15108" max="15108" width="11.42578125" style="54" customWidth="1"/>
    <col min="15109" max="15111" width="12.140625" style="54" customWidth="1"/>
    <col min="15112" max="15112" width="12.7109375" style="54" bestFit="1" customWidth="1"/>
    <col min="15113" max="15113" width="11.5703125" style="54" customWidth="1"/>
    <col min="15114" max="15114" width="11.42578125" style="54"/>
    <col min="15115" max="15115" width="11" style="54" customWidth="1"/>
    <col min="15116" max="15116" width="12.28515625" style="54" customWidth="1"/>
    <col min="15117" max="15117" width="11.5703125" style="54" customWidth="1"/>
    <col min="15118" max="15118" width="7.85546875" style="54" customWidth="1"/>
    <col min="15119" max="15119" width="8.140625" style="54" customWidth="1"/>
    <col min="15120" max="15120" width="8.42578125" style="54" customWidth="1"/>
    <col min="15121" max="15121" width="10.5703125" style="54" customWidth="1"/>
    <col min="15122" max="15122" width="9.140625" style="54" bestFit="1" customWidth="1"/>
    <col min="15123" max="15123" width="12.7109375" style="54" bestFit="1" customWidth="1"/>
    <col min="15124" max="15124" width="7.7109375" style="54" customWidth="1"/>
    <col min="15125" max="15125" width="7.85546875" style="54" customWidth="1"/>
    <col min="15126" max="15126" width="9.28515625" style="54" customWidth="1"/>
    <col min="15127" max="15127" width="8.42578125" style="54" customWidth="1"/>
    <col min="15128" max="15128" width="7.28515625" style="54" customWidth="1"/>
    <col min="15129" max="15129" width="7.5703125" style="54" customWidth="1"/>
    <col min="15130" max="15130" width="9.7109375" style="54" customWidth="1"/>
    <col min="15131" max="15131" width="8.85546875" style="54" customWidth="1"/>
    <col min="15132" max="15360" width="11.42578125" style="54"/>
    <col min="15361" max="15361" width="0" style="54" hidden="1" customWidth="1"/>
    <col min="15362" max="15362" width="13.140625" style="54" customWidth="1"/>
    <col min="15363" max="15363" width="9.42578125" style="54" customWidth="1"/>
    <col min="15364" max="15364" width="11.42578125" style="54" customWidth="1"/>
    <col min="15365" max="15367" width="12.140625" style="54" customWidth="1"/>
    <col min="15368" max="15368" width="12.7109375" style="54" bestFit="1" customWidth="1"/>
    <col min="15369" max="15369" width="11.5703125" style="54" customWidth="1"/>
    <col min="15370" max="15370" width="11.42578125" style="54"/>
    <col min="15371" max="15371" width="11" style="54" customWidth="1"/>
    <col min="15372" max="15372" width="12.28515625" style="54" customWidth="1"/>
    <col min="15373" max="15373" width="11.5703125" style="54" customWidth="1"/>
    <col min="15374" max="15374" width="7.85546875" style="54" customWidth="1"/>
    <col min="15375" max="15375" width="8.140625" style="54" customWidth="1"/>
    <col min="15376" max="15376" width="8.42578125" style="54" customWidth="1"/>
    <col min="15377" max="15377" width="10.5703125" style="54" customWidth="1"/>
    <col min="15378" max="15378" width="9.140625" style="54" bestFit="1" customWidth="1"/>
    <col min="15379" max="15379" width="12.7109375" style="54" bestFit="1" customWidth="1"/>
    <col min="15380" max="15380" width="7.7109375" style="54" customWidth="1"/>
    <col min="15381" max="15381" width="7.85546875" style="54" customWidth="1"/>
    <col min="15382" max="15382" width="9.28515625" style="54" customWidth="1"/>
    <col min="15383" max="15383" width="8.42578125" style="54" customWidth="1"/>
    <col min="15384" max="15384" width="7.28515625" style="54" customWidth="1"/>
    <col min="15385" max="15385" width="7.5703125" style="54" customWidth="1"/>
    <col min="15386" max="15386" width="9.7109375" style="54" customWidth="1"/>
    <col min="15387" max="15387" width="8.85546875" style="54" customWidth="1"/>
    <col min="15388" max="15616" width="11.42578125" style="54"/>
    <col min="15617" max="15617" width="0" style="54" hidden="1" customWidth="1"/>
    <col min="15618" max="15618" width="13.140625" style="54" customWidth="1"/>
    <col min="15619" max="15619" width="9.42578125" style="54" customWidth="1"/>
    <col min="15620" max="15620" width="11.42578125" style="54" customWidth="1"/>
    <col min="15621" max="15623" width="12.140625" style="54" customWidth="1"/>
    <col min="15624" max="15624" width="12.7109375" style="54" bestFit="1" customWidth="1"/>
    <col min="15625" max="15625" width="11.5703125" style="54" customWidth="1"/>
    <col min="15626" max="15626" width="11.42578125" style="54"/>
    <col min="15627" max="15627" width="11" style="54" customWidth="1"/>
    <col min="15628" max="15628" width="12.28515625" style="54" customWidth="1"/>
    <col min="15629" max="15629" width="11.5703125" style="54" customWidth="1"/>
    <col min="15630" max="15630" width="7.85546875" style="54" customWidth="1"/>
    <col min="15631" max="15631" width="8.140625" style="54" customWidth="1"/>
    <col min="15632" max="15632" width="8.42578125" style="54" customWidth="1"/>
    <col min="15633" max="15633" width="10.5703125" style="54" customWidth="1"/>
    <col min="15634" max="15634" width="9.140625" style="54" bestFit="1" customWidth="1"/>
    <col min="15635" max="15635" width="12.7109375" style="54" bestFit="1" customWidth="1"/>
    <col min="15636" max="15636" width="7.7109375" style="54" customWidth="1"/>
    <col min="15637" max="15637" width="7.85546875" style="54" customWidth="1"/>
    <col min="15638" max="15638" width="9.28515625" style="54" customWidth="1"/>
    <col min="15639" max="15639" width="8.42578125" style="54" customWidth="1"/>
    <col min="15640" max="15640" width="7.28515625" style="54" customWidth="1"/>
    <col min="15641" max="15641" width="7.5703125" style="54" customWidth="1"/>
    <col min="15642" max="15642" width="9.7109375" style="54" customWidth="1"/>
    <col min="15643" max="15643" width="8.85546875" style="54" customWidth="1"/>
    <col min="15644" max="15872" width="11.42578125" style="54"/>
    <col min="15873" max="15873" width="0" style="54" hidden="1" customWidth="1"/>
    <col min="15874" max="15874" width="13.140625" style="54" customWidth="1"/>
    <col min="15875" max="15875" width="9.42578125" style="54" customWidth="1"/>
    <col min="15876" max="15876" width="11.42578125" style="54" customWidth="1"/>
    <col min="15877" max="15879" width="12.140625" style="54" customWidth="1"/>
    <col min="15880" max="15880" width="12.7109375" style="54" bestFit="1" customWidth="1"/>
    <col min="15881" max="15881" width="11.5703125" style="54" customWidth="1"/>
    <col min="15882" max="15882" width="11.42578125" style="54"/>
    <col min="15883" max="15883" width="11" style="54" customWidth="1"/>
    <col min="15884" max="15884" width="12.28515625" style="54" customWidth="1"/>
    <col min="15885" max="15885" width="11.5703125" style="54" customWidth="1"/>
    <col min="15886" max="15886" width="7.85546875" style="54" customWidth="1"/>
    <col min="15887" max="15887" width="8.140625" style="54" customWidth="1"/>
    <col min="15888" max="15888" width="8.42578125" style="54" customWidth="1"/>
    <col min="15889" max="15889" width="10.5703125" style="54" customWidth="1"/>
    <col min="15890" max="15890" width="9.140625" style="54" bestFit="1" customWidth="1"/>
    <col min="15891" max="15891" width="12.7109375" style="54" bestFit="1" customWidth="1"/>
    <col min="15892" max="15892" width="7.7109375" style="54" customWidth="1"/>
    <col min="15893" max="15893" width="7.85546875" style="54" customWidth="1"/>
    <col min="15894" max="15894" width="9.28515625" style="54" customWidth="1"/>
    <col min="15895" max="15895" width="8.42578125" style="54" customWidth="1"/>
    <col min="15896" max="15896" width="7.28515625" style="54" customWidth="1"/>
    <col min="15897" max="15897" width="7.5703125" style="54" customWidth="1"/>
    <col min="15898" max="15898" width="9.7109375" style="54" customWidth="1"/>
    <col min="15899" max="15899" width="8.85546875" style="54" customWidth="1"/>
    <col min="15900" max="16128" width="11.42578125" style="54"/>
    <col min="16129" max="16129" width="0" style="54" hidden="1" customWidth="1"/>
    <col min="16130" max="16130" width="13.140625" style="54" customWidth="1"/>
    <col min="16131" max="16131" width="9.42578125" style="54" customWidth="1"/>
    <col min="16132" max="16132" width="11.42578125" style="54" customWidth="1"/>
    <col min="16133" max="16135" width="12.140625" style="54" customWidth="1"/>
    <col min="16136" max="16136" width="12.7109375" style="54" bestFit="1" customWidth="1"/>
    <col min="16137" max="16137" width="11.5703125" style="54" customWidth="1"/>
    <col min="16138" max="16138" width="11.42578125" style="54"/>
    <col min="16139" max="16139" width="11" style="54" customWidth="1"/>
    <col min="16140" max="16140" width="12.28515625" style="54" customWidth="1"/>
    <col min="16141" max="16141" width="11.5703125" style="54" customWidth="1"/>
    <col min="16142" max="16142" width="7.85546875" style="54" customWidth="1"/>
    <col min="16143" max="16143" width="8.140625" style="54" customWidth="1"/>
    <col min="16144" max="16144" width="8.42578125" style="54" customWidth="1"/>
    <col min="16145" max="16145" width="10.5703125" style="54" customWidth="1"/>
    <col min="16146" max="16146" width="9.140625" style="54" bestFit="1" customWidth="1"/>
    <col min="16147" max="16147" width="12.7109375" style="54" bestFit="1" customWidth="1"/>
    <col min="16148" max="16148" width="7.7109375" style="54" customWidth="1"/>
    <col min="16149" max="16149" width="7.85546875" style="54" customWidth="1"/>
    <col min="16150" max="16150" width="9.28515625" style="54" customWidth="1"/>
    <col min="16151" max="16151" width="8.42578125" style="54" customWidth="1"/>
    <col min="16152" max="16152" width="7.28515625" style="54" customWidth="1"/>
    <col min="16153" max="16153" width="7.5703125" style="54" customWidth="1"/>
    <col min="16154" max="16154" width="9.7109375" style="54" customWidth="1"/>
    <col min="16155" max="16155" width="8.85546875" style="54" customWidth="1"/>
    <col min="16156" max="16384" width="11.42578125" style="54"/>
  </cols>
  <sheetData>
    <row r="1" spans="2:30" ht="18.75" x14ac:dyDescent="0.3">
      <c r="B1" s="280" t="s">
        <v>22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U1" s="55"/>
      <c r="V1" s="55"/>
      <c r="W1" s="55"/>
      <c r="X1" s="55"/>
      <c r="Y1" s="55"/>
      <c r="Z1" s="55"/>
      <c r="AA1" s="55"/>
      <c r="AB1" s="55"/>
      <c r="AC1" s="55"/>
      <c r="AD1" s="55"/>
    </row>
    <row r="2" spans="2:30" ht="18.75" x14ac:dyDescent="0.3">
      <c r="B2" s="280" t="s">
        <v>49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U2" s="55"/>
      <c r="V2" s="55"/>
      <c r="W2" s="55"/>
      <c r="X2" s="55"/>
      <c r="Y2" s="55"/>
      <c r="Z2" s="55"/>
      <c r="AA2" s="55"/>
      <c r="AB2" s="55"/>
      <c r="AC2" s="55"/>
      <c r="AD2" s="55"/>
    </row>
    <row r="3" spans="2:30" x14ac:dyDescent="0.2"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235"/>
      <c r="M3" s="129"/>
      <c r="N3" s="129"/>
      <c r="O3" s="129"/>
      <c r="P3" s="129"/>
      <c r="Q3" s="129"/>
      <c r="R3" s="129"/>
      <c r="S3" s="129"/>
      <c r="U3" s="55"/>
      <c r="V3" s="55"/>
      <c r="W3" s="55"/>
      <c r="X3" s="55"/>
      <c r="Y3" s="55"/>
      <c r="Z3" s="55"/>
      <c r="AA3" s="55"/>
      <c r="AB3" s="55"/>
      <c r="AC3" s="55"/>
      <c r="AD3" s="55"/>
    </row>
    <row r="4" spans="2:30" ht="15" customHeight="1" x14ac:dyDescent="0.25">
      <c r="B4" s="281" t="s">
        <v>50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129"/>
      <c r="U4" s="55"/>
      <c r="V4" s="55"/>
      <c r="W4" s="55"/>
      <c r="X4" s="55"/>
      <c r="Y4" s="55"/>
      <c r="Z4" s="55"/>
      <c r="AA4" s="55"/>
      <c r="AB4" s="55"/>
      <c r="AC4" s="55"/>
      <c r="AD4" s="55"/>
    </row>
    <row r="5" spans="2:30" ht="15.75" x14ac:dyDescent="0.25">
      <c r="B5" s="281" t="s">
        <v>106</v>
      </c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130"/>
      <c r="U5" s="55"/>
      <c r="V5" s="55"/>
      <c r="W5" s="55"/>
      <c r="X5" s="55"/>
      <c r="Y5" s="55"/>
      <c r="Z5" s="55"/>
      <c r="AA5" s="55"/>
      <c r="AB5" s="55"/>
      <c r="AC5" s="55"/>
      <c r="AD5" s="55"/>
    </row>
    <row r="6" spans="2:30" x14ac:dyDescent="0.2">
      <c r="B6" s="131" t="s">
        <v>118</v>
      </c>
      <c r="C6" s="129"/>
      <c r="D6" s="129"/>
      <c r="E6" s="129"/>
      <c r="F6" s="129"/>
      <c r="G6" s="129"/>
      <c r="H6" s="129"/>
      <c r="I6" s="129"/>
      <c r="J6" s="129"/>
      <c r="K6" s="129"/>
      <c r="L6" s="235"/>
      <c r="M6" s="129"/>
      <c r="N6" s="129"/>
      <c r="O6" s="129"/>
      <c r="P6" s="129"/>
      <c r="Q6" s="129"/>
      <c r="R6" s="129"/>
      <c r="S6" s="129"/>
      <c r="U6" s="55"/>
      <c r="V6" s="55"/>
      <c r="W6" s="55"/>
      <c r="X6" s="55"/>
      <c r="Y6" s="55"/>
      <c r="Z6" s="55"/>
      <c r="AA6" s="55"/>
      <c r="AB6" s="55"/>
      <c r="AC6" s="55"/>
      <c r="AD6" s="55"/>
    </row>
    <row r="7" spans="2:30" ht="12" customHeight="1" x14ac:dyDescent="0.2">
      <c r="B7" s="132" t="s">
        <v>119</v>
      </c>
      <c r="C7" s="129"/>
      <c r="D7" s="129"/>
      <c r="E7" s="133"/>
      <c r="F7" s="133" t="s">
        <v>105</v>
      </c>
      <c r="G7" s="129"/>
      <c r="H7" s="129"/>
      <c r="I7" s="129"/>
      <c r="J7" s="129"/>
      <c r="K7" s="129"/>
      <c r="L7" s="235"/>
      <c r="M7" s="129"/>
      <c r="N7" s="129"/>
      <c r="O7" s="129"/>
      <c r="P7" s="129"/>
      <c r="Q7" s="129"/>
      <c r="R7" s="129"/>
      <c r="S7" s="129"/>
      <c r="U7" s="55"/>
      <c r="V7" s="55"/>
      <c r="W7" s="55"/>
      <c r="X7" s="55"/>
      <c r="Y7" s="55"/>
      <c r="Z7" s="55"/>
      <c r="AA7" s="55"/>
      <c r="AB7" s="57"/>
      <c r="AC7" s="55"/>
      <c r="AD7" s="55"/>
    </row>
    <row r="8" spans="2:30" ht="12.75" customHeight="1" x14ac:dyDescent="0.25">
      <c r="B8" s="132" t="s">
        <v>120</v>
      </c>
      <c r="C8" s="129"/>
      <c r="D8" s="129"/>
      <c r="E8" s="133"/>
      <c r="F8" s="133" t="s">
        <v>96</v>
      </c>
      <c r="G8" s="129"/>
      <c r="H8" s="129"/>
      <c r="I8" s="129"/>
      <c r="J8" s="129"/>
      <c r="K8" s="129"/>
      <c r="L8" s="235"/>
      <c r="M8" s="129"/>
      <c r="N8" s="129"/>
      <c r="O8" s="129"/>
      <c r="P8" s="129"/>
      <c r="Q8" s="129"/>
      <c r="R8" s="134"/>
      <c r="S8" s="129"/>
      <c r="U8" s="55"/>
      <c r="V8" s="55"/>
      <c r="W8" s="57"/>
      <c r="X8" s="55"/>
      <c r="Y8" s="55"/>
      <c r="Z8" s="55"/>
      <c r="AA8" s="55"/>
      <c r="AB8" s="57"/>
      <c r="AC8" s="55"/>
      <c r="AD8" s="55"/>
    </row>
    <row r="9" spans="2:30" ht="15" customHeight="1" thickBot="1" x14ac:dyDescent="0.25">
      <c r="B9" s="129"/>
      <c r="C9" s="129"/>
      <c r="D9" s="129"/>
      <c r="E9" s="129"/>
      <c r="F9" s="129"/>
      <c r="G9" s="129"/>
      <c r="H9" s="129"/>
      <c r="I9" s="135"/>
      <c r="J9" s="129"/>
      <c r="K9" s="129"/>
      <c r="L9" s="235"/>
      <c r="M9" s="129"/>
      <c r="N9" s="129"/>
      <c r="O9" s="129"/>
      <c r="P9" s="129"/>
      <c r="Q9" s="129"/>
      <c r="R9" s="129"/>
      <c r="S9" s="129"/>
      <c r="U9" s="57"/>
      <c r="V9" s="57"/>
      <c r="W9" s="57"/>
      <c r="X9" s="57"/>
      <c r="Y9" s="57"/>
      <c r="Z9" s="57"/>
      <c r="AA9" s="57"/>
      <c r="AB9" s="57"/>
      <c r="AC9" s="55"/>
      <c r="AD9" s="55"/>
    </row>
    <row r="10" spans="2:30" s="59" customFormat="1" ht="36.75" customHeight="1" thickBot="1" x14ac:dyDescent="0.25">
      <c r="B10" s="282" t="s">
        <v>51</v>
      </c>
      <c r="C10" s="282" t="s">
        <v>52</v>
      </c>
      <c r="D10" s="282" t="s">
        <v>53</v>
      </c>
      <c r="E10" s="282" t="s">
        <v>54</v>
      </c>
      <c r="F10" s="282" t="s">
        <v>55</v>
      </c>
      <c r="G10" s="282" t="s">
        <v>56</v>
      </c>
      <c r="H10" s="278" t="s">
        <v>57</v>
      </c>
      <c r="I10" s="284"/>
      <c r="J10" s="284"/>
      <c r="K10" s="284"/>
      <c r="L10" s="285" t="s">
        <v>58</v>
      </c>
      <c r="M10" s="282" t="s">
        <v>59</v>
      </c>
      <c r="N10" s="282" t="s">
        <v>60</v>
      </c>
      <c r="O10" s="278" t="s">
        <v>61</v>
      </c>
      <c r="P10" s="279"/>
      <c r="Q10" s="278" t="s">
        <v>62</v>
      </c>
      <c r="R10" s="279"/>
      <c r="S10" s="136"/>
      <c r="U10" s="61"/>
      <c r="V10" s="61"/>
      <c r="W10" s="61"/>
      <c r="X10" s="62"/>
      <c r="Y10" s="61"/>
      <c r="Z10" s="61"/>
      <c r="AA10" s="61"/>
      <c r="AB10" s="61"/>
      <c r="AC10" s="60"/>
      <c r="AD10" s="60"/>
    </row>
    <row r="11" spans="2:30" s="63" customFormat="1" ht="15" customHeight="1" thickBot="1" x14ac:dyDescent="0.25">
      <c r="B11" s="283"/>
      <c r="C11" s="283"/>
      <c r="D11" s="283"/>
      <c r="E11" s="283"/>
      <c r="F11" s="283"/>
      <c r="G11" s="283"/>
      <c r="H11" s="137" t="s">
        <v>63</v>
      </c>
      <c r="I11" s="137" t="s">
        <v>64</v>
      </c>
      <c r="J11" s="137" t="s">
        <v>65</v>
      </c>
      <c r="K11" s="137" t="s">
        <v>66</v>
      </c>
      <c r="L11" s="286"/>
      <c r="M11" s="283"/>
      <c r="N11" s="283"/>
      <c r="O11" s="138" t="s">
        <v>67</v>
      </c>
      <c r="P11" s="137" t="s">
        <v>68</v>
      </c>
      <c r="Q11" s="139" t="s">
        <v>52</v>
      </c>
      <c r="R11" s="137" t="s">
        <v>69</v>
      </c>
      <c r="S11" s="140"/>
      <c r="U11" s="65"/>
      <c r="V11" s="65"/>
      <c r="W11" s="65"/>
      <c r="X11" s="66"/>
      <c r="Y11" s="65"/>
      <c r="Z11" s="65"/>
      <c r="AA11" s="65"/>
      <c r="AB11" s="65"/>
      <c r="AC11" s="64"/>
      <c r="AD11" s="64"/>
    </row>
    <row r="12" spans="2:30" s="70" customFormat="1" x14ac:dyDescent="0.2">
      <c r="B12" s="141" t="s">
        <v>70</v>
      </c>
      <c r="C12" s="160" t="s">
        <v>107</v>
      </c>
      <c r="D12" s="161">
        <v>42685</v>
      </c>
      <c r="E12" s="142">
        <f>1638778.46-1556060.79</f>
        <v>82717.669999999925</v>
      </c>
      <c r="F12" s="143">
        <f>158483.77-149532.68</f>
        <v>8951.0899999999965</v>
      </c>
      <c r="G12" s="142">
        <f>F12/E12*100</f>
        <v>10.821254999083031</v>
      </c>
      <c r="H12" s="142">
        <f>1327335-1327335</f>
        <v>0</v>
      </c>
      <c r="I12" s="142">
        <f>1545103-1309703</f>
        <v>235400</v>
      </c>
      <c r="J12" s="142">
        <f>H12+I12</f>
        <v>235400</v>
      </c>
      <c r="K12" s="142">
        <f>24059-25315</f>
        <v>-1256</v>
      </c>
      <c r="L12" s="236">
        <f>8946777.72-8157298.01</f>
        <v>789479.71000000089</v>
      </c>
      <c r="M12" s="144">
        <f>204086.41-210498.01</f>
        <v>-6411.6000000000058</v>
      </c>
      <c r="N12" s="142">
        <v>6.59</v>
      </c>
      <c r="O12" s="145">
        <v>101</v>
      </c>
      <c r="P12" s="142">
        <f>(100-N12)*(O12)/100</f>
        <v>94.344099999999997</v>
      </c>
      <c r="Q12" s="143">
        <f>E12/7</f>
        <v>11816.809999999989</v>
      </c>
      <c r="R12" s="146"/>
      <c r="S12" s="147"/>
      <c r="U12" s="69"/>
      <c r="V12" s="69"/>
      <c r="W12" s="69"/>
      <c r="X12" s="71"/>
      <c r="Y12" s="69"/>
      <c r="Z12" s="69"/>
      <c r="AA12" s="69"/>
      <c r="AB12" s="69"/>
      <c r="AC12" s="162"/>
      <c r="AD12" s="162"/>
    </row>
    <row r="13" spans="2:30" s="70" customFormat="1" x14ac:dyDescent="0.2">
      <c r="B13" s="163"/>
      <c r="C13" s="160" t="s">
        <v>97</v>
      </c>
      <c r="D13" s="161">
        <v>42336</v>
      </c>
      <c r="E13" s="142">
        <f>1094426.48-1007265.6</f>
        <v>87160.88</v>
      </c>
      <c r="F13" s="143">
        <f>205037.87-187093.96</f>
        <v>17943.910000000003</v>
      </c>
      <c r="G13" s="142">
        <f>F13/E13*100</f>
        <v>20.587114310915634</v>
      </c>
      <c r="H13" s="142">
        <f>732579-732579</f>
        <v>0</v>
      </c>
      <c r="I13" s="142">
        <f>1542341-1360048</f>
        <v>182293</v>
      </c>
      <c r="J13" s="142">
        <f>H13+I13</f>
        <v>182293</v>
      </c>
      <c r="K13" s="142">
        <f>26985-20792</f>
        <v>6193</v>
      </c>
      <c r="L13" s="236">
        <f>7929497.64-7151226.45</f>
        <v>778271.18999999948</v>
      </c>
      <c r="M13" s="144">
        <f>163530.62-236050.36</f>
        <v>-72519.739999999991</v>
      </c>
      <c r="N13" s="142">
        <v>5.23</v>
      </c>
      <c r="O13" s="145">
        <v>86</v>
      </c>
      <c r="P13" s="142">
        <f>(100-N13)*(O13)/100</f>
        <v>81.502199999999988</v>
      </c>
      <c r="Q13" s="143">
        <f>E13/7</f>
        <v>12451.554285714286</v>
      </c>
      <c r="R13" s="146">
        <f>Q12-Q13</f>
        <v>-634.7442857142978</v>
      </c>
      <c r="S13" s="147"/>
      <c r="U13" s="69"/>
      <c r="V13" s="69"/>
      <c r="W13" s="69"/>
      <c r="X13" s="71"/>
      <c r="Y13" s="69"/>
      <c r="Z13" s="69"/>
      <c r="AA13" s="69"/>
      <c r="AB13" s="69"/>
      <c r="AC13" s="162"/>
      <c r="AD13" s="162"/>
    </row>
    <row r="14" spans="2:30" s="70" customFormat="1" x14ac:dyDescent="0.2">
      <c r="B14" s="164"/>
      <c r="C14" s="165"/>
      <c r="D14" s="166"/>
      <c r="E14" s="142"/>
      <c r="F14" s="143"/>
      <c r="G14" s="167"/>
      <c r="H14" s="142"/>
      <c r="I14" s="142"/>
      <c r="J14" s="167"/>
      <c r="K14" s="142"/>
      <c r="L14" s="236"/>
      <c r="M14" s="168"/>
      <c r="N14" s="142"/>
      <c r="O14" s="169"/>
      <c r="P14" s="167"/>
      <c r="Q14" s="170"/>
      <c r="R14" s="146"/>
      <c r="S14" s="147"/>
      <c r="U14" s="69"/>
      <c r="V14" s="69"/>
      <c r="W14" s="69"/>
      <c r="X14" s="71"/>
      <c r="Y14" s="69"/>
      <c r="Z14" s="69"/>
      <c r="AA14" s="69"/>
      <c r="AB14" s="69"/>
      <c r="AC14" s="162"/>
      <c r="AD14" s="162"/>
    </row>
    <row r="15" spans="2:30" s="70" customFormat="1" x14ac:dyDescent="0.2">
      <c r="B15" s="141" t="s">
        <v>71</v>
      </c>
      <c r="C15" s="160" t="s">
        <v>107</v>
      </c>
      <c r="D15" s="171">
        <v>42690</v>
      </c>
      <c r="E15" s="148">
        <f>1181342.02-1082358.9</f>
        <v>98983.120000000112</v>
      </c>
      <c r="F15" s="182">
        <f>112811.44-107580.44</f>
        <v>5231</v>
      </c>
      <c r="G15" s="146">
        <f>F15/E15*100</f>
        <v>5.2847394586066736</v>
      </c>
      <c r="H15" s="172">
        <f>1673293.67-1666928.37</f>
        <v>6365.2999999998137</v>
      </c>
      <c r="I15" s="148">
        <f>1109424.98-875611.28</f>
        <v>233813.69999999995</v>
      </c>
      <c r="J15" s="146">
        <f>H15+I15</f>
        <v>240178.99999999977</v>
      </c>
      <c r="K15" s="172">
        <f>34180.61-30256.28</f>
        <v>3924.3300000000017</v>
      </c>
      <c r="L15" s="237">
        <f>8251555-7481614</f>
        <v>769941</v>
      </c>
      <c r="M15" s="146">
        <f>296779.31-298417.3</f>
        <v>-1637.9899999999907</v>
      </c>
      <c r="N15" s="148">
        <v>7.44</v>
      </c>
      <c r="O15" s="145">
        <v>96</v>
      </c>
      <c r="P15" s="142">
        <f>(100-N15)*(O15)/100</f>
        <v>88.857600000000005</v>
      </c>
      <c r="Q15" s="143">
        <f>E15/7</f>
        <v>14140.44571428573</v>
      </c>
      <c r="R15" s="146"/>
      <c r="S15" s="147"/>
      <c r="U15" s="69"/>
      <c r="V15" s="69"/>
      <c r="W15" s="69"/>
      <c r="X15" s="71"/>
      <c r="Y15" s="69"/>
      <c r="Z15" s="69"/>
      <c r="AA15" s="69"/>
      <c r="AB15" s="69"/>
      <c r="AC15" s="162"/>
      <c r="AD15" s="162"/>
    </row>
    <row r="16" spans="2:30" s="70" customFormat="1" x14ac:dyDescent="0.2">
      <c r="B16" s="163"/>
      <c r="C16" s="160" t="s">
        <v>97</v>
      </c>
      <c r="D16" s="161">
        <v>42340</v>
      </c>
      <c r="E16" s="142">
        <f>889113.06-797957.96</f>
        <v>91155.100000000093</v>
      </c>
      <c r="F16" s="143">
        <f>139887.08-124159</f>
        <v>15728.079999999987</v>
      </c>
      <c r="G16" s="146">
        <f>F16/E16*100</f>
        <v>17.254196419070322</v>
      </c>
      <c r="H16" s="144">
        <f>1165358.38-1164712.38</f>
        <v>646</v>
      </c>
      <c r="I16" s="142">
        <f>787180.89-569418.15</f>
        <v>217762.74</v>
      </c>
      <c r="J16" s="146">
        <f>I16+H16</f>
        <v>218408.74</v>
      </c>
      <c r="K16" s="144">
        <f>28480.24-29588.76</f>
        <v>-1108.5199999999968</v>
      </c>
      <c r="L16" s="238">
        <f>6110941-5339590</f>
        <v>771351</v>
      </c>
      <c r="M16" s="146">
        <f>327974.81-304406.09</f>
        <v>23568.719999999972</v>
      </c>
      <c r="N16" s="142">
        <v>16.440000000000001</v>
      </c>
      <c r="O16" s="145">
        <v>82</v>
      </c>
      <c r="P16" s="142">
        <f>(100-N16)*(O16)/100</f>
        <v>68.519199999999998</v>
      </c>
      <c r="Q16" s="143">
        <f>E16/7</f>
        <v>13022.157142857157</v>
      </c>
      <c r="R16" s="146">
        <f>Q15-Q16</f>
        <v>1118.2885714285731</v>
      </c>
      <c r="S16" s="147"/>
      <c r="U16" s="69"/>
      <c r="V16" s="69"/>
      <c r="W16" s="69"/>
      <c r="X16" s="71"/>
      <c r="Y16" s="69"/>
      <c r="Z16" s="69"/>
      <c r="AA16" s="69"/>
      <c r="AB16" s="69"/>
      <c r="AC16" s="162"/>
      <c r="AD16" s="162"/>
    </row>
    <row r="17" spans="2:30" s="70" customFormat="1" x14ac:dyDescent="0.2">
      <c r="B17" s="164"/>
      <c r="C17" s="165"/>
      <c r="D17" s="174"/>
      <c r="E17" s="167"/>
      <c r="F17" s="143"/>
      <c r="G17" s="175"/>
      <c r="H17" s="144"/>
      <c r="I17" s="167"/>
      <c r="J17" s="175"/>
      <c r="K17" s="168"/>
      <c r="L17" s="238"/>
      <c r="M17" s="175"/>
      <c r="N17" s="167"/>
      <c r="O17" s="145"/>
      <c r="P17" s="167"/>
      <c r="Q17" s="170"/>
      <c r="R17" s="175"/>
      <c r="S17" s="147"/>
      <c r="U17" s="69"/>
      <c r="V17" s="69"/>
      <c r="W17" s="69"/>
      <c r="X17" s="71"/>
      <c r="Y17" s="69"/>
      <c r="Z17" s="69"/>
      <c r="AA17" s="69"/>
      <c r="AB17" s="69"/>
      <c r="AC17" s="162"/>
      <c r="AD17" s="162"/>
    </row>
    <row r="18" spans="2:30" s="70" customFormat="1" x14ac:dyDescent="0.2">
      <c r="B18" s="141" t="s">
        <v>72</v>
      </c>
      <c r="C18" s="160" t="s">
        <v>107</v>
      </c>
      <c r="D18" s="176">
        <v>42692</v>
      </c>
      <c r="E18" s="144">
        <f>762393.22-704196.28</f>
        <v>58196.939999999944</v>
      </c>
      <c r="F18" s="148">
        <f>32440.22-26804.35</f>
        <v>5635.8700000000026</v>
      </c>
      <c r="G18" s="146">
        <f>F18/E18*100</f>
        <v>9.6841345953928304</v>
      </c>
      <c r="H18" s="172">
        <f>1051206-1051206</f>
        <v>0</v>
      </c>
      <c r="I18" s="148">
        <f>591977-462834</f>
        <v>129143</v>
      </c>
      <c r="J18" s="146">
        <f>H18+I18</f>
        <v>129143</v>
      </c>
      <c r="K18" s="172">
        <f>15052-15796</f>
        <v>-744</v>
      </c>
      <c r="L18" s="237">
        <f>5867094.2-5373881.7</f>
        <v>493212.5</v>
      </c>
      <c r="M18" s="146">
        <f>111007.25-97518.84</f>
        <v>13488.410000000003</v>
      </c>
      <c r="N18" s="172">
        <v>4.37</v>
      </c>
      <c r="O18" s="177">
        <v>94</v>
      </c>
      <c r="P18" s="143">
        <f>(100-N18)*(O18)/100</f>
        <v>89.892199999999988</v>
      </c>
      <c r="Q18" s="143">
        <f>E18/7</f>
        <v>8313.8485714285634</v>
      </c>
      <c r="R18" s="150"/>
      <c r="S18" s="147"/>
      <c r="U18" s="69"/>
      <c r="V18" s="69"/>
      <c r="W18" s="69"/>
      <c r="X18" s="71"/>
      <c r="Y18" s="69"/>
      <c r="Z18" s="69"/>
      <c r="AA18" s="69"/>
      <c r="AB18" s="69"/>
      <c r="AC18" s="162"/>
      <c r="AD18" s="162"/>
    </row>
    <row r="19" spans="2:30" s="70" customFormat="1" x14ac:dyDescent="0.2">
      <c r="B19" s="163"/>
      <c r="C19" s="173" t="s">
        <v>97</v>
      </c>
      <c r="D19" s="161">
        <v>42338</v>
      </c>
      <c r="E19" s="144">
        <f>643855.57-582163.74</f>
        <v>61691.829999999958</v>
      </c>
      <c r="F19" s="142">
        <f>35051.81-29187.61</f>
        <v>5864.1999999999971</v>
      </c>
      <c r="G19" s="146">
        <f>F19/E19*100</f>
        <v>9.5056347007375219</v>
      </c>
      <c r="H19" s="144">
        <f>660860.7-660860.7</f>
        <v>0</v>
      </c>
      <c r="I19" s="142">
        <f>544042.35-417266.3</f>
        <v>126776.04999999999</v>
      </c>
      <c r="J19" s="146">
        <f>H19+I19</f>
        <v>126776.04999999999</v>
      </c>
      <c r="K19" s="144">
        <f>18023.24-16089.91</f>
        <v>1933.3300000000017</v>
      </c>
      <c r="L19" s="238">
        <f>5422703.95-4865410.68</f>
        <v>557293.27000000048</v>
      </c>
      <c r="M19" s="146">
        <f>130298.06-131492.45</f>
        <v>-1194.390000000014</v>
      </c>
      <c r="N19" s="144">
        <v>7.5</v>
      </c>
      <c r="O19" s="178">
        <v>84</v>
      </c>
      <c r="P19" s="143">
        <f>(100-N19)*(O19)/100</f>
        <v>77.7</v>
      </c>
      <c r="Q19" s="143">
        <f>E19/7</f>
        <v>8813.1185714285657</v>
      </c>
      <c r="R19" s="146">
        <f>Q18-Q19</f>
        <v>-499.27000000000226</v>
      </c>
      <c r="S19" s="147"/>
      <c r="U19" s="69"/>
      <c r="V19" s="69"/>
      <c r="W19" s="69"/>
      <c r="X19" s="71"/>
      <c r="Y19" s="69"/>
      <c r="Z19" s="69"/>
      <c r="AA19" s="69"/>
      <c r="AB19" s="69"/>
      <c r="AC19" s="162"/>
      <c r="AD19" s="162"/>
    </row>
    <row r="20" spans="2:30" s="70" customFormat="1" x14ac:dyDescent="0.2">
      <c r="B20" s="164"/>
      <c r="C20" s="165"/>
      <c r="D20" s="166"/>
      <c r="E20" s="144"/>
      <c r="F20" s="167"/>
      <c r="G20" s="175"/>
      <c r="H20" s="168"/>
      <c r="I20" s="167"/>
      <c r="J20" s="175"/>
      <c r="K20" s="168"/>
      <c r="L20" s="239"/>
      <c r="M20" s="175"/>
      <c r="N20" s="168"/>
      <c r="O20" s="179"/>
      <c r="P20" s="170"/>
      <c r="Q20" s="170"/>
      <c r="R20" s="175"/>
      <c r="S20" s="147"/>
      <c r="U20" s="69"/>
      <c r="V20" s="69"/>
      <c r="W20" s="69"/>
      <c r="X20" s="71"/>
      <c r="Y20" s="69"/>
      <c r="Z20" s="69"/>
      <c r="AA20" s="69"/>
      <c r="AB20" s="69"/>
      <c r="AC20" s="162"/>
      <c r="AD20" s="162"/>
    </row>
    <row r="21" spans="2:30" s="70" customFormat="1" x14ac:dyDescent="0.2">
      <c r="B21" s="141" t="s">
        <v>73</v>
      </c>
      <c r="C21" s="160" t="s">
        <v>107</v>
      </c>
      <c r="D21" s="180">
        <v>42682</v>
      </c>
      <c r="E21" s="172">
        <f>661991.76-614497.99</f>
        <v>47493.770000000019</v>
      </c>
      <c r="F21" s="142">
        <f>72989.54-68411.52</f>
        <v>4578.0199999999895</v>
      </c>
      <c r="G21" s="146">
        <f>F21/E21*100</f>
        <v>9.6392010994283837</v>
      </c>
      <c r="H21" s="172">
        <f>963838.48-931101.52</f>
        <v>32736.959999999963</v>
      </c>
      <c r="I21" s="148">
        <f>584498.91-511146.73</f>
        <v>73352.180000000051</v>
      </c>
      <c r="J21" s="146">
        <f>H21+I21</f>
        <v>106089.14000000001</v>
      </c>
      <c r="K21" s="172">
        <f>13206.73-12255</f>
        <v>951.72999999999956</v>
      </c>
      <c r="L21" s="237">
        <f>4863104.33-4425314.89</f>
        <v>437789.44000000041</v>
      </c>
      <c r="M21" s="143">
        <f>93781.1-72824.51</f>
        <v>20956.590000000011</v>
      </c>
      <c r="N21" s="142">
        <v>10.49</v>
      </c>
      <c r="O21" s="149">
        <v>103</v>
      </c>
      <c r="P21" s="142">
        <f>(100-N21)*(O21)/100</f>
        <v>92.195300000000003</v>
      </c>
      <c r="Q21" s="143">
        <f>E21/7</f>
        <v>6784.8242857142886</v>
      </c>
      <c r="R21" s="146"/>
      <c r="S21" s="147"/>
      <c r="U21" s="69"/>
      <c r="V21" s="69"/>
      <c r="W21" s="69"/>
      <c r="X21" s="71"/>
      <c r="Y21" s="69"/>
      <c r="Z21" s="69"/>
      <c r="AA21" s="69"/>
      <c r="AB21" s="69"/>
      <c r="AC21" s="162"/>
      <c r="AD21" s="162"/>
    </row>
    <row r="22" spans="2:30" s="70" customFormat="1" x14ac:dyDescent="0.2">
      <c r="B22" s="163"/>
      <c r="C22" s="173" t="s">
        <v>97</v>
      </c>
      <c r="D22" s="161">
        <v>42339</v>
      </c>
      <c r="E22" s="144">
        <f>511367.86-464238.21</f>
        <v>47129.649999999965</v>
      </c>
      <c r="F22" s="142">
        <f>69411.07-61401.7</f>
        <v>8009.3700000000099</v>
      </c>
      <c r="G22" s="146">
        <f>F22/E22*100</f>
        <v>16.994333715612182</v>
      </c>
      <c r="H22" s="144">
        <f>500136.73-491337.83</f>
        <v>8798.8999999999651</v>
      </c>
      <c r="I22" s="142">
        <f>601357.17-503762.6</f>
        <v>97594.570000000065</v>
      </c>
      <c r="J22" s="146">
        <f>H22+I22</f>
        <v>106393.47000000003</v>
      </c>
      <c r="K22" s="144">
        <f>14997.17-14824.57</f>
        <v>172.60000000000036</v>
      </c>
      <c r="L22" s="238">
        <f>3531603.69-3123379.56</f>
        <v>408224.12999999989</v>
      </c>
      <c r="M22" s="143">
        <f>117011.24-122960.53</f>
        <v>-5949.2899999999936</v>
      </c>
      <c r="N22" s="142">
        <v>13.6</v>
      </c>
      <c r="O22" s="149">
        <v>80</v>
      </c>
      <c r="P22" s="142">
        <f>(100-N22)*(O22)/100</f>
        <v>69.12</v>
      </c>
      <c r="Q22" s="143">
        <f>E22/7</f>
        <v>6732.8071428571375</v>
      </c>
      <c r="R22" s="146">
        <f>Q21-Q22</f>
        <v>52.017142857151157</v>
      </c>
      <c r="S22" s="147"/>
      <c r="U22" s="69"/>
      <c r="V22" s="69"/>
      <c r="W22" s="69"/>
      <c r="X22" s="71"/>
      <c r="Y22" s="69"/>
      <c r="Z22" s="69"/>
      <c r="AA22" s="69"/>
      <c r="AB22" s="69"/>
      <c r="AC22" s="162"/>
      <c r="AD22" s="162"/>
    </row>
    <row r="23" spans="2:30" s="70" customFormat="1" x14ac:dyDescent="0.2">
      <c r="B23" s="164"/>
      <c r="C23" s="165"/>
      <c r="D23" s="174"/>
      <c r="E23" s="168"/>
      <c r="F23" s="142"/>
      <c r="G23" s="175"/>
      <c r="H23" s="144"/>
      <c r="I23" s="167"/>
      <c r="J23" s="175"/>
      <c r="K23" s="168"/>
      <c r="L23" s="238"/>
      <c r="M23" s="170"/>
      <c r="N23" s="167"/>
      <c r="O23" s="181"/>
      <c r="P23" s="167"/>
      <c r="Q23" s="170"/>
      <c r="R23" s="175"/>
      <c r="S23" s="147"/>
      <c r="U23" s="69"/>
      <c r="V23" s="69"/>
      <c r="W23" s="69"/>
      <c r="X23" s="71"/>
      <c r="Y23" s="69"/>
      <c r="Z23" s="69"/>
      <c r="AA23" s="69"/>
      <c r="AB23" s="69"/>
      <c r="AC23" s="162"/>
      <c r="AD23" s="162"/>
    </row>
    <row r="24" spans="2:30" s="70" customFormat="1" x14ac:dyDescent="0.2">
      <c r="B24" s="141" t="s">
        <v>74</v>
      </c>
      <c r="C24" s="160" t="s">
        <v>107</v>
      </c>
      <c r="D24" s="176">
        <v>42697</v>
      </c>
      <c r="E24" s="144">
        <f>563848.89-518054.44</f>
        <v>45794.450000000012</v>
      </c>
      <c r="F24" s="148">
        <f>42645-32900</f>
        <v>9745</v>
      </c>
      <c r="G24" s="146">
        <f>F24/E24*100</f>
        <v>21.279871250773834</v>
      </c>
      <c r="H24" s="172">
        <f>981581.4-947461.8</f>
        <v>34119.599999999977</v>
      </c>
      <c r="I24" s="142">
        <f>249270.84-181050.72</f>
        <v>68220.12</v>
      </c>
      <c r="J24" s="146">
        <f>H24+I24</f>
        <v>102339.71999999997</v>
      </c>
      <c r="K24" s="172">
        <f>21927.96-17486.05</f>
        <v>4441.91</v>
      </c>
      <c r="L24" s="237">
        <f>3933593-3530344</f>
        <v>403249</v>
      </c>
      <c r="M24" s="146">
        <f>174505.12-167664.74</f>
        <v>6840.3800000000047</v>
      </c>
      <c r="N24" s="142">
        <v>8.44</v>
      </c>
      <c r="O24" s="149">
        <v>89</v>
      </c>
      <c r="P24" s="142">
        <f>(100-N24)*(O24)/100</f>
        <v>81.488399999999999</v>
      </c>
      <c r="Q24" s="143">
        <f>E24/7</f>
        <v>6542.0642857142875</v>
      </c>
      <c r="R24" s="146"/>
      <c r="S24" s="147"/>
      <c r="U24" s="69"/>
      <c r="V24" s="69"/>
      <c r="W24" s="69"/>
      <c r="X24" s="71"/>
      <c r="Y24" s="69"/>
      <c r="Z24" s="69"/>
      <c r="AA24" s="69"/>
      <c r="AB24" s="69"/>
      <c r="AC24" s="162"/>
      <c r="AD24" s="162"/>
    </row>
    <row r="25" spans="2:30" s="70" customFormat="1" x14ac:dyDescent="0.2">
      <c r="B25" s="163"/>
      <c r="C25" s="173" t="s">
        <v>97</v>
      </c>
      <c r="D25" s="161">
        <v>42341</v>
      </c>
      <c r="E25" s="144">
        <f>450900.31-405886.21</f>
        <v>45014.099999999977</v>
      </c>
      <c r="F25" s="142">
        <f>53075.8-50135.8</f>
        <v>2940</v>
      </c>
      <c r="G25" s="146">
        <f>F25/E25*100</f>
        <v>6.5312868634494565</v>
      </c>
      <c r="H25" s="144">
        <f>379706-379706</f>
        <v>0</v>
      </c>
      <c r="I25" s="142">
        <f>487477.11-394603.83</f>
        <v>92873.27999999997</v>
      </c>
      <c r="J25" s="146">
        <f>H25+I25</f>
        <v>92873.27999999997</v>
      </c>
      <c r="K25" s="144">
        <f>14669.11-14036.58</f>
        <v>632.53000000000065</v>
      </c>
      <c r="L25" s="238">
        <f>3386705-2966389</f>
        <v>420316</v>
      </c>
      <c r="M25" s="146">
        <f>139592.12-123806.38</f>
        <v>15785.739999999991</v>
      </c>
      <c r="N25" s="142">
        <v>15.6</v>
      </c>
      <c r="O25" s="149">
        <v>81</v>
      </c>
      <c r="P25" s="142">
        <f>(100-N25)*(O25)/100</f>
        <v>68.364000000000004</v>
      </c>
      <c r="Q25" s="143">
        <f>E25/7</f>
        <v>6430.5857142857112</v>
      </c>
      <c r="R25" s="146">
        <f>Q24-Q25</f>
        <v>111.47857142857629</v>
      </c>
      <c r="S25" s="147"/>
      <c r="U25" s="69"/>
      <c r="V25" s="69"/>
      <c r="W25" s="69"/>
      <c r="X25" s="71"/>
      <c r="Y25" s="69"/>
      <c r="Z25" s="69"/>
      <c r="AA25" s="69"/>
      <c r="AB25" s="69"/>
      <c r="AC25" s="162"/>
      <c r="AD25" s="162"/>
    </row>
    <row r="26" spans="2:30" s="70" customFormat="1" x14ac:dyDescent="0.2">
      <c r="B26" s="164"/>
      <c r="C26" s="165"/>
      <c r="D26" s="166"/>
      <c r="E26" s="144"/>
      <c r="F26" s="167"/>
      <c r="G26" s="146"/>
      <c r="H26" s="168"/>
      <c r="I26" s="167"/>
      <c r="J26" s="146"/>
      <c r="K26" s="168"/>
      <c r="L26" s="239"/>
      <c r="M26" s="146"/>
      <c r="N26" s="142"/>
      <c r="O26" s="149"/>
      <c r="P26" s="142"/>
      <c r="Q26" s="143"/>
      <c r="R26" s="146"/>
      <c r="S26" s="147"/>
      <c r="U26" s="69"/>
      <c r="V26" s="69"/>
      <c r="W26" s="69"/>
      <c r="X26" s="71"/>
      <c r="Y26" s="69"/>
      <c r="Z26" s="69"/>
      <c r="AA26" s="69"/>
      <c r="AB26" s="69"/>
      <c r="AC26" s="162"/>
      <c r="AD26" s="162"/>
    </row>
    <row r="27" spans="2:30" s="70" customFormat="1" x14ac:dyDescent="0.2">
      <c r="B27" s="141" t="s">
        <v>75</v>
      </c>
      <c r="C27" s="160" t="s">
        <v>107</v>
      </c>
      <c r="D27" s="180">
        <v>42710</v>
      </c>
      <c r="E27" s="148">
        <f>249335.95-225331.36</f>
        <v>24004.590000000026</v>
      </c>
      <c r="F27" s="143">
        <f>30890.29-29301.29</f>
        <v>1589</v>
      </c>
      <c r="G27" s="148">
        <f>F27/E27*100</f>
        <v>6.6195673410793452</v>
      </c>
      <c r="H27" s="144">
        <f>351604.91-347099.81</f>
        <v>4505.0999999999767</v>
      </c>
      <c r="I27" s="142">
        <f>235411.59-183082.32</f>
        <v>52329.26999999999</v>
      </c>
      <c r="J27" s="150">
        <f>H27+I27</f>
        <v>56834.369999999966</v>
      </c>
      <c r="K27" s="148">
        <f>7939.54-6879.3</f>
        <v>1060.2399999999998</v>
      </c>
      <c r="L27" s="240">
        <f>1970968-1752036</f>
        <v>218932</v>
      </c>
      <c r="M27" s="148">
        <f>48178.97-50013.06</f>
        <v>-1834.0899999999965</v>
      </c>
      <c r="N27" s="150">
        <v>3.8</v>
      </c>
      <c r="O27" s="177">
        <v>76</v>
      </c>
      <c r="P27" s="148">
        <f>(100-N27)*(O27)/100</f>
        <v>73.111999999999995</v>
      </c>
      <c r="Q27" s="148">
        <f>E27/7</f>
        <v>3429.2271428571466</v>
      </c>
      <c r="R27" s="182"/>
      <c r="S27" s="183"/>
      <c r="U27" s="69"/>
      <c r="V27" s="69"/>
      <c r="W27" s="69"/>
      <c r="X27" s="71"/>
      <c r="Y27" s="69"/>
      <c r="Z27" s="69"/>
      <c r="AA27" s="69"/>
      <c r="AB27" s="69"/>
      <c r="AC27" s="162"/>
      <c r="AD27" s="162"/>
    </row>
    <row r="28" spans="2:30" s="70" customFormat="1" x14ac:dyDescent="0.2">
      <c r="B28" s="163"/>
      <c r="C28" s="173" t="s">
        <v>97</v>
      </c>
      <c r="D28" s="161">
        <v>42348</v>
      </c>
      <c r="E28" s="142">
        <f>215896.2-194535.55</f>
        <v>21360.650000000023</v>
      </c>
      <c r="F28" s="143">
        <f>37349-32593</f>
        <v>4756</v>
      </c>
      <c r="G28" s="142">
        <f>F28/E28*100</f>
        <v>22.265240055897152</v>
      </c>
      <c r="H28" s="144">
        <f>231109.1-230059.1</f>
        <v>1050</v>
      </c>
      <c r="I28" s="142">
        <f>231264.64-184070.37</f>
        <v>47194.270000000019</v>
      </c>
      <c r="J28" s="146">
        <f>H28+I28</f>
        <v>48244.270000000019</v>
      </c>
      <c r="K28" s="142">
        <f>8796.5-8179.71</f>
        <v>616.79</v>
      </c>
      <c r="L28" s="240">
        <f>1698229-1559058</f>
        <v>139171</v>
      </c>
      <c r="M28" s="142">
        <f>67984.8-68452.75</f>
        <v>-467.94999999999709</v>
      </c>
      <c r="N28" s="146">
        <v>7.06</v>
      </c>
      <c r="O28" s="178">
        <v>73</v>
      </c>
      <c r="P28" s="142">
        <f>(100-N28)*(O28)/100</f>
        <v>67.846199999999996</v>
      </c>
      <c r="Q28" s="142">
        <f>E28/7</f>
        <v>3051.5214285714319</v>
      </c>
      <c r="R28" s="143">
        <f>Q27-Q28</f>
        <v>377.70571428571475</v>
      </c>
      <c r="S28" s="183"/>
      <c r="U28" s="69"/>
      <c r="V28" s="69"/>
      <c r="W28" s="69"/>
      <c r="X28" s="71"/>
      <c r="Y28" s="69"/>
      <c r="Z28" s="69"/>
      <c r="AA28" s="69"/>
      <c r="AB28" s="69"/>
      <c r="AC28" s="162"/>
      <c r="AD28" s="162"/>
    </row>
    <row r="29" spans="2:30" s="70" customFormat="1" ht="12" customHeight="1" x14ac:dyDescent="0.2">
      <c r="B29" s="164"/>
      <c r="C29" s="165"/>
      <c r="D29" s="174"/>
      <c r="E29" s="167"/>
      <c r="F29" s="170"/>
      <c r="G29" s="167"/>
      <c r="H29" s="168"/>
      <c r="I29" s="167"/>
      <c r="J29" s="175"/>
      <c r="K29" s="167"/>
      <c r="L29" s="241"/>
      <c r="M29" s="167"/>
      <c r="N29" s="175"/>
      <c r="O29" s="179"/>
      <c r="P29" s="167"/>
      <c r="Q29" s="167"/>
      <c r="R29" s="170"/>
      <c r="S29" s="183"/>
      <c r="U29" s="69"/>
      <c r="V29" s="69"/>
      <c r="W29" s="69"/>
      <c r="X29" s="71"/>
      <c r="Y29" s="69"/>
      <c r="Z29" s="69"/>
      <c r="AA29" s="69"/>
      <c r="AB29" s="69"/>
      <c r="AC29" s="162"/>
      <c r="AD29" s="162"/>
    </row>
    <row r="30" spans="2:30" s="70" customFormat="1" x14ac:dyDescent="0.2">
      <c r="B30" s="141" t="s">
        <v>65</v>
      </c>
      <c r="C30" s="184" t="s">
        <v>107</v>
      </c>
      <c r="D30" s="163"/>
      <c r="E30" s="185">
        <f>E12+E15+E18+E21+E27+E24</f>
        <v>357190.54000000004</v>
      </c>
      <c r="F30" s="185">
        <f>F12+F15+F18+F21+F27+F24</f>
        <v>35729.979999999989</v>
      </c>
      <c r="G30" s="186">
        <f>F30/E30*100</f>
        <v>10.00305887160393</v>
      </c>
      <c r="H30" s="185">
        <f t="shared" ref="H30:M30" si="0">H12+H15+H18+H21+H27+H24</f>
        <v>77726.95999999973</v>
      </c>
      <c r="I30" s="185">
        <f t="shared" si="0"/>
        <v>792258.27</v>
      </c>
      <c r="J30" s="185">
        <f t="shared" si="0"/>
        <v>869985.22999999975</v>
      </c>
      <c r="K30" s="185">
        <f t="shared" si="0"/>
        <v>8378.2100000000009</v>
      </c>
      <c r="L30" s="242">
        <f t="shared" si="0"/>
        <v>3112603.6500000013</v>
      </c>
      <c r="M30" s="185">
        <f t="shared" si="0"/>
        <v>31401.700000000026</v>
      </c>
      <c r="N30" s="185"/>
      <c r="O30" s="187"/>
      <c r="P30" s="188"/>
      <c r="Q30" s="185">
        <f>Q12+Q15+Q18+Q21+Q27+Q24</f>
        <v>51027.220000000008</v>
      </c>
      <c r="R30" s="189"/>
      <c r="S30" s="147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</row>
    <row r="31" spans="2:30" s="70" customFormat="1" x14ac:dyDescent="0.2">
      <c r="B31" s="190"/>
      <c r="C31" s="191" t="s">
        <v>97</v>
      </c>
      <c r="D31" s="164"/>
      <c r="E31" s="192">
        <f>E13+E16+E19+E22+E25+E28</f>
        <v>353512.21</v>
      </c>
      <c r="F31" s="192">
        <f>F13+F16+F19+F22+F25+F28</f>
        <v>55241.56</v>
      </c>
      <c r="G31" s="192">
        <f>F31/E31*100</f>
        <v>15.626492787901158</v>
      </c>
      <c r="H31" s="192">
        <f t="shared" ref="H31:M31" si="1">H13+H16+H19+H22+H25+H28</f>
        <v>10494.899999999965</v>
      </c>
      <c r="I31" s="192">
        <f t="shared" si="1"/>
        <v>764493.91000000015</v>
      </c>
      <c r="J31" s="192">
        <f t="shared" si="1"/>
        <v>774988.81</v>
      </c>
      <c r="K31" s="192">
        <f t="shared" si="1"/>
        <v>8439.7300000000068</v>
      </c>
      <c r="L31" s="243">
        <f t="shared" si="1"/>
        <v>3074626.59</v>
      </c>
      <c r="M31" s="192">
        <f t="shared" si="1"/>
        <v>-40776.910000000033</v>
      </c>
      <c r="N31" s="192"/>
      <c r="O31" s="192"/>
      <c r="P31" s="193"/>
      <c r="Q31" s="192">
        <f>Q13+Q16+Q19+Q22+Q25+Q28</f>
        <v>50501.744285714289</v>
      </c>
      <c r="R31" s="194"/>
      <c r="S31" s="147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</row>
    <row r="32" spans="2:30" x14ac:dyDescent="0.2"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235"/>
      <c r="M32" s="129"/>
      <c r="N32" s="129"/>
      <c r="O32" s="129"/>
      <c r="P32" s="129"/>
      <c r="Q32" s="135"/>
      <c r="R32" s="135"/>
      <c r="S32" s="129"/>
      <c r="U32" s="55"/>
      <c r="V32" s="55"/>
      <c r="W32" s="55"/>
      <c r="X32" s="55"/>
      <c r="Y32" s="55"/>
      <c r="Z32" s="55"/>
      <c r="AA32" s="55"/>
      <c r="AB32" s="55"/>
      <c r="AC32" s="55"/>
      <c r="AD32" s="55"/>
    </row>
    <row r="33" spans="2:30" s="56" customFormat="1" x14ac:dyDescent="0.2">
      <c r="B33" s="151" t="s">
        <v>11</v>
      </c>
      <c r="C33" s="132"/>
      <c r="D33" s="129"/>
      <c r="E33" s="132"/>
      <c r="F33" s="132"/>
      <c r="G33" s="132"/>
      <c r="H33" s="132"/>
      <c r="I33" s="132"/>
      <c r="J33" s="132"/>
      <c r="K33" s="132"/>
      <c r="L33" s="244"/>
      <c r="M33" s="132"/>
      <c r="N33" s="132"/>
      <c r="O33" s="132"/>
      <c r="P33" s="132"/>
      <c r="Q33" s="152"/>
      <c r="R33" s="132"/>
      <c r="S33" s="132"/>
      <c r="U33" s="80"/>
      <c r="V33" s="80"/>
      <c r="W33" s="80"/>
      <c r="X33" s="80"/>
      <c r="Y33" s="80"/>
      <c r="Z33" s="80"/>
      <c r="AA33" s="80"/>
      <c r="AB33" s="80"/>
      <c r="AC33" s="80"/>
      <c r="AD33" s="80"/>
    </row>
    <row r="34" spans="2:30" s="56" customFormat="1" x14ac:dyDescent="0.2">
      <c r="B34" s="153"/>
      <c r="C34" s="153"/>
      <c r="D34" s="154"/>
      <c r="E34" s="152"/>
      <c r="F34" s="152"/>
      <c r="G34" s="152"/>
      <c r="H34" s="152"/>
      <c r="I34" s="152"/>
      <c r="J34" s="152"/>
      <c r="K34" s="152"/>
      <c r="L34" s="245"/>
      <c r="M34" s="152"/>
      <c r="N34" s="132"/>
      <c r="O34" s="132"/>
      <c r="P34" s="132"/>
      <c r="Q34" s="152"/>
      <c r="R34" s="132"/>
      <c r="S34" s="132"/>
      <c r="U34" s="80"/>
      <c r="V34" s="80"/>
      <c r="W34" s="80"/>
      <c r="X34" s="80"/>
      <c r="Y34" s="80"/>
      <c r="Z34" s="80"/>
      <c r="AA34" s="80"/>
      <c r="AB34" s="80"/>
      <c r="AC34" s="80"/>
      <c r="AD34" s="80"/>
    </row>
    <row r="35" spans="2:30" s="56" customFormat="1" x14ac:dyDescent="0.2">
      <c r="D35" s="57"/>
      <c r="L35" s="246"/>
      <c r="Q35" s="80"/>
    </row>
    <row r="36" spans="2:30" s="56" customFormat="1" x14ac:dyDescent="0.2">
      <c r="D36" s="55"/>
      <c r="L36" s="246"/>
      <c r="Q36" s="80"/>
    </row>
    <row r="37" spans="2:30" s="56" customFormat="1" x14ac:dyDescent="0.2">
      <c r="D37" s="55"/>
      <c r="L37" s="246"/>
      <c r="Q37" s="80"/>
    </row>
    <row r="38" spans="2:30" s="56" customFormat="1" x14ac:dyDescent="0.2">
      <c r="D38" s="55"/>
      <c r="L38" s="246"/>
      <c r="Q38" s="80"/>
    </row>
    <row r="39" spans="2:30" s="56" customFormat="1" x14ac:dyDescent="0.2">
      <c r="D39" s="55"/>
      <c r="L39" s="246"/>
      <c r="Q39" s="80"/>
    </row>
    <row r="40" spans="2:30" s="56" customFormat="1" x14ac:dyDescent="0.2">
      <c r="D40" s="55"/>
      <c r="L40" s="246"/>
      <c r="Q40" s="80"/>
    </row>
    <row r="41" spans="2:30" x14ac:dyDescent="0.2">
      <c r="D41" s="55"/>
      <c r="Q41" s="55"/>
    </row>
    <row r="42" spans="2:30" x14ac:dyDescent="0.2">
      <c r="D42" s="55"/>
      <c r="Q42" s="55"/>
    </row>
    <row r="43" spans="2:30" x14ac:dyDescent="0.2">
      <c r="D43" s="55"/>
      <c r="Q43" s="55"/>
    </row>
    <row r="44" spans="2:30" x14ac:dyDescent="0.2">
      <c r="D44" s="55"/>
      <c r="Q44" s="55"/>
    </row>
    <row r="45" spans="2:30" x14ac:dyDescent="0.2">
      <c r="D45" s="55"/>
      <c r="Q45" s="55"/>
    </row>
    <row r="46" spans="2:30" x14ac:dyDescent="0.2">
      <c r="D46" s="55"/>
      <c r="Q46" s="55"/>
    </row>
    <row r="47" spans="2:30" x14ac:dyDescent="0.2">
      <c r="D47" s="55"/>
      <c r="Q47" s="55"/>
    </row>
    <row r="48" spans="2:30" x14ac:dyDescent="0.2">
      <c r="D48" s="55"/>
      <c r="Q48" s="55"/>
    </row>
    <row r="49" spans="2:17" x14ac:dyDescent="0.2">
      <c r="D49" s="55"/>
      <c r="Q49" s="55"/>
    </row>
    <row r="50" spans="2:17" x14ac:dyDescent="0.2">
      <c r="D50" s="55"/>
      <c r="Q50" s="55"/>
    </row>
    <row r="51" spans="2:17" x14ac:dyDescent="0.2">
      <c r="D51" s="55"/>
      <c r="Q51" s="55"/>
    </row>
    <row r="52" spans="2:17" x14ac:dyDescent="0.2">
      <c r="D52" s="55"/>
      <c r="Q52" s="55"/>
    </row>
    <row r="53" spans="2:17" x14ac:dyDescent="0.2">
      <c r="B53" s="55"/>
      <c r="C53" s="57"/>
      <c r="D53" s="55"/>
      <c r="E53" s="72"/>
      <c r="F53" s="72"/>
      <c r="G53" s="72"/>
      <c r="H53" s="72"/>
      <c r="I53" s="72"/>
      <c r="J53" s="72"/>
      <c r="K53" s="72"/>
      <c r="L53" s="248"/>
      <c r="M53" s="72"/>
      <c r="N53" s="72"/>
      <c r="O53" s="72"/>
      <c r="P53" s="72"/>
      <c r="Q53" s="55"/>
    </row>
    <row r="54" spans="2:17" x14ac:dyDescent="0.2">
      <c r="B54" s="55"/>
      <c r="C54" s="57"/>
      <c r="E54" s="72"/>
      <c r="F54" s="72"/>
      <c r="G54" s="72"/>
      <c r="H54" s="72"/>
      <c r="I54" s="72"/>
      <c r="J54" s="72"/>
      <c r="K54" s="72"/>
      <c r="L54" s="248"/>
      <c r="M54" s="72"/>
      <c r="N54" s="72"/>
      <c r="O54" s="72"/>
      <c r="P54" s="72"/>
      <c r="Q54" s="55"/>
    </row>
    <row r="55" spans="2:17" x14ac:dyDescent="0.2">
      <c r="B55" s="55"/>
      <c r="C55" s="57"/>
      <c r="E55" s="72"/>
      <c r="F55" s="72"/>
      <c r="G55" s="72"/>
      <c r="H55" s="72"/>
      <c r="I55" s="72"/>
      <c r="J55" s="72"/>
      <c r="K55" s="72"/>
      <c r="L55" s="248"/>
      <c r="M55" s="72"/>
      <c r="N55" s="72"/>
      <c r="O55" s="72"/>
      <c r="P55" s="72"/>
      <c r="Q55" s="55"/>
    </row>
    <row r="56" spans="2:17" x14ac:dyDescent="0.2">
      <c r="B56" s="55"/>
      <c r="C56" s="57"/>
      <c r="E56" s="72"/>
      <c r="F56" s="72"/>
      <c r="G56" s="72"/>
      <c r="H56" s="72"/>
      <c r="I56" s="72"/>
      <c r="J56" s="72"/>
      <c r="K56" s="72"/>
      <c r="L56" s="248"/>
      <c r="M56" s="72"/>
      <c r="N56" s="72"/>
      <c r="O56" s="72"/>
      <c r="P56" s="72"/>
      <c r="Q56" s="55"/>
    </row>
    <row r="57" spans="2:17" x14ac:dyDescent="0.2">
      <c r="B57" s="55"/>
      <c r="C57" s="57"/>
      <c r="E57" s="72"/>
      <c r="F57" s="72"/>
      <c r="G57" s="72"/>
      <c r="H57" s="72"/>
      <c r="I57" s="72"/>
      <c r="J57" s="72"/>
      <c r="K57" s="72"/>
      <c r="L57" s="248"/>
      <c r="M57" s="72"/>
      <c r="N57" s="72"/>
      <c r="O57" s="72"/>
      <c r="P57" s="72"/>
      <c r="Q57" s="55"/>
    </row>
    <row r="58" spans="2:17" x14ac:dyDescent="0.2">
      <c r="B58" s="55"/>
      <c r="C58" s="57"/>
      <c r="E58" s="72"/>
      <c r="F58" s="72"/>
      <c r="G58" s="72"/>
      <c r="H58" s="72"/>
      <c r="I58" s="72"/>
      <c r="J58" s="72"/>
      <c r="K58" s="72"/>
      <c r="L58" s="248"/>
      <c r="M58" s="72"/>
      <c r="N58" s="72"/>
      <c r="O58" s="72"/>
      <c r="P58" s="72"/>
      <c r="Q58" s="55"/>
    </row>
    <row r="59" spans="2:17" x14ac:dyDescent="0.2">
      <c r="B59" s="55"/>
      <c r="C59" s="57"/>
      <c r="E59" s="72"/>
      <c r="F59" s="72"/>
      <c r="G59" s="72"/>
      <c r="H59" s="72"/>
      <c r="I59" s="72"/>
      <c r="J59" s="72"/>
      <c r="K59" s="72"/>
      <c r="L59" s="248"/>
      <c r="M59" s="72"/>
      <c r="N59" s="72"/>
      <c r="O59" s="72"/>
      <c r="P59" s="72"/>
      <c r="Q59" s="55"/>
    </row>
    <row r="60" spans="2:17" x14ac:dyDescent="0.2">
      <c r="B60" s="55"/>
      <c r="C60" s="57"/>
      <c r="E60" s="72"/>
      <c r="F60" s="72"/>
      <c r="G60" s="72"/>
      <c r="H60" s="72"/>
      <c r="I60" s="72"/>
      <c r="J60" s="72"/>
      <c r="K60" s="72"/>
      <c r="L60" s="248"/>
      <c r="M60" s="72"/>
      <c r="N60" s="72"/>
      <c r="O60" s="72"/>
      <c r="P60" s="72"/>
      <c r="Q60" s="55"/>
    </row>
    <row r="61" spans="2:17" x14ac:dyDescent="0.2">
      <c r="B61" s="55"/>
      <c r="C61" s="57"/>
      <c r="E61" s="72"/>
      <c r="F61" s="72"/>
      <c r="G61" s="72"/>
      <c r="H61" s="72"/>
      <c r="I61" s="72"/>
      <c r="J61" s="72"/>
      <c r="K61" s="72"/>
      <c r="L61" s="248"/>
      <c r="M61" s="72"/>
      <c r="N61" s="72"/>
      <c r="O61" s="72"/>
      <c r="P61" s="72"/>
      <c r="Q61" s="55"/>
    </row>
    <row r="62" spans="2:17" x14ac:dyDescent="0.2">
      <c r="B62" s="55"/>
      <c r="C62" s="57"/>
      <c r="E62" s="72"/>
      <c r="F62" s="72"/>
      <c r="G62" s="72"/>
      <c r="H62" s="72"/>
      <c r="I62" s="72"/>
      <c r="J62" s="72"/>
      <c r="K62" s="72"/>
      <c r="L62" s="248"/>
      <c r="M62" s="72"/>
      <c r="N62" s="72"/>
      <c r="O62" s="72"/>
      <c r="P62" s="72"/>
      <c r="Q62" s="55"/>
    </row>
    <row r="63" spans="2:17" x14ac:dyDescent="0.2">
      <c r="B63" s="55"/>
      <c r="C63" s="57"/>
      <c r="E63" s="72"/>
      <c r="F63" s="72"/>
      <c r="G63" s="72"/>
      <c r="H63" s="72"/>
      <c r="I63" s="72"/>
      <c r="J63" s="72"/>
      <c r="K63" s="72"/>
      <c r="L63" s="248"/>
      <c r="M63" s="72"/>
      <c r="N63" s="72"/>
      <c r="O63" s="72"/>
      <c r="P63" s="72"/>
      <c r="Q63" s="55"/>
    </row>
    <row r="64" spans="2:17" x14ac:dyDescent="0.2">
      <c r="B64" s="55"/>
      <c r="C64" s="57"/>
      <c r="E64" s="72"/>
      <c r="F64" s="72"/>
      <c r="G64" s="72"/>
      <c r="H64" s="72"/>
      <c r="I64" s="72"/>
      <c r="J64" s="72"/>
      <c r="K64" s="72"/>
      <c r="L64" s="248"/>
      <c r="M64" s="72"/>
      <c r="N64" s="72"/>
      <c r="O64" s="72"/>
      <c r="P64" s="72"/>
      <c r="Q64" s="55"/>
    </row>
    <row r="65" spans="2:17" x14ac:dyDescent="0.2">
      <c r="B65" s="55"/>
      <c r="C65" s="57"/>
      <c r="E65" s="72"/>
      <c r="F65" s="72"/>
      <c r="G65" s="72"/>
      <c r="H65" s="72"/>
      <c r="I65" s="72"/>
      <c r="J65" s="72"/>
      <c r="K65" s="72"/>
      <c r="L65" s="248"/>
      <c r="M65" s="72"/>
      <c r="N65" s="72"/>
      <c r="O65" s="72"/>
      <c r="P65" s="72"/>
      <c r="Q65" s="55"/>
    </row>
    <row r="66" spans="2:17" x14ac:dyDescent="0.2">
      <c r="B66" s="55"/>
      <c r="C66" s="55"/>
      <c r="E66" s="72"/>
      <c r="F66" s="72"/>
      <c r="G66" s="72"/>
      <c r="H66" s="72"/>
      <c r="I66" s="72"/>
      <c r="J66" s="72"/>
      <c r="K66" s="72"/>
      <c r="L66" s="248"/>
      <c r="M66" s="72"/>
      <c r="N66" s="72"/>
      <c r="O66" s="72"/>
      <c r="P66" s="72"/>
      <c r="Q66" s="55"/>
    </row>
    <row r="67" spans="2:17" x14ac:dyDescent="0.2">
      <c r="B67" s="55"/>
      <c r="C67" s="57"/>
      <c r="E67" s="72"/>
      <c r="F67" s="72"/>
      <c r="G67" s="72"/>
      <c r="H67" s="72"/>
      <c r="I67" s="72"/>
      <c r="J67" s="72"/>
      <c r="K67" s="72"/>
      <c r="L67" s="248"/>
      <c r="M67" s="72"/>
      <c r="N67" s="72"/>
      <c r="O67" s="72"/>
      <c r="P67" s="72"/>
      <c r="Q67" s="55"/>
    </row>
    <row r="68" spans="2:17" x14ac:dyDescent="0.2">
      <c r="B68" s="55"/>
      <c r="C68" s="57"/>
      <c r="E68" s="72"/>
      <c r="F68" s="72"/>
      <c r="G68" s="72"/>
      <c r="H68" s="72"/>
      <c r="I68" s="72"/>
      <c r="J68" s="72"/>
      <c r="K68" s="72"/>
      <c r="L68" s="248"/>
      <c r="M68" s="72"/>
      <c r="N68" s="72"/>
      <c r="O68" s="72"/>
      <c r="P68" s="72"/>
      <c r="Q68" s="55"/>
    </row>
    <row r="69" spans="2:17" x14ac:dyDescent="0.2">
      <c r="B69" s="55"/>
      <c r="C69" s="55"/>
      <c r="E69" s="57"/>
      <c r="F69" s="55"/>
      <c r="G69" s="55"/>
      <c r="H69" s="55"/>
      <c r="I69" s="55"/>
      <c r="J69" s="55"/>
      <c r="K69" s="55"/>
      <c r="L69" s="249"/>
      <c r="M69" s="55"/>
      <c r="N69" s="55"/>
      <c r="O69" s="55"/>
      <c r="P69" s="55"/>
      <c r="Q69" s="55"/>
    </row>
    <row r="70" spans="2:17" x14ac:dyDescent="0.2">
      <c r="B70" s="55"/>
      <c r="C70" s="55"/>
      <c r="E70" s="57"/>
      <c r="F70" s="55"/>
      <c r="G70" s="55"/>
      <c r="H70" s="55"/>
      <c r="I70" s="55"/>
      <c r="J70" s="55"/>
      <c r="K70" s="55"/>
      <c r="L70" s="249"/>
      <c r="M70" s="55"/>
      <c r="N70" s="55"/>
      <c r="O70" s="55"/>
      <c r="P70" s="55"/>
      <c r="Q70" s="55"/>
    </row>
    <row r="71" spans="2:17" x14ac:dyDescent="0.2">
      <c r="B71" s="55"/>
      <c r="C71" s="55"/>
      <c r="E71" s="55"/>
      <c r="F71" s="55"/>
      <c r="G71" s="55"/>
      <c r="H71" s="55"/>
      <c r="I71" s="55"/>
      <c r="J71" s="55"/>
      <c r="K71" s="55"/>
      <c r="L71" s="249"/>
      <c r="M71" s="55"/>
      <c r="N71" s="55"/>
      <c r="O71" s="55"/>
      <c r="P71" s="55"/>
      <c r="Q71" s="55"/>
    </row>
    <row r="72" spans="2:17" x14ac:dyDescent="0.2">
      <c r="B72" s="55"/>
      <c r="C72" s="55"/>
      <c r="E72" s="55"/>
      <c r="F72" s="55"/>
      <c r="G72" s="55"/>
      <c r="H72" s="55"/>
      <c r="I72" s="55"/>
      <c r="J72" s="55"/>
      <c r="K72" s="55"/>
      <c r="L72" s="249"/>
      <c r="M72" s="55"/>
      <c r="N72" s="55"/>
      <c r="O72" s="55"/>
      <c r="P72" s="55"/>
      <c r="Q72" s="55"/>
    </row>
    <row r="73" spans="2:17" x14ac:dyDescent="0.2">
      <c r="B73" s="55"/>
      <c r="C73" s="55"/>
      <c r="E73" s="55"/>
      <c r="F73" s="55"/>
      <c r="G73" s="55"/>
      <c r="H73" s="55"/>
      <c r="I73" s="55"/>
      <c r="J73" s="55"/>
      <c r="K73" s="55"/>
      <c r="L73" s="249"/>
      <c r="M73" s="55"/>
      <c r="N73" s="55"/>
      <c r="O73" s="55"/>
      <c r="P73" s="55"/>
      <c r="Q73" s="55"/>
    </row>
  </sheetData>
  <mergeCells count="16">
    <mergeCell ref="Q10:R10"/>
    <mergeCell ref="B1:S1"/>
    <mergeCell ref="B2:S2"/>
    <mergeCell ref="B4:R4"/>
    <mergeCell ref="B5:R5"/>
    <mergeCell ref="B10:B11"/>
    <mergeCell ref="C10:C11"/>
    <mergeCell ref="D10:D11"/>
    <mergeCell ref="E10:E11"/>
    <mergeCell ref="F10:F11"/>
    <mergeCell ref="G10:G11"/>
    <mergeCell ref="H10:K10"/>
    <mergeCell ref="L10:L11"/>
    <mergeCell ref="M10:M11"/>
    <mergeCell ref="N10:N11"/>
    <mergeCell ref="O10:P10"/>
  </mergeCells>
  <pageMargins left="0.4" right="0.2" top="0.75" bottom="0.75" header="0.3" footer="0.3"/>
  <pageSetup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7" tint="0.39997558519241921"/>
  </sheetPr>
  <dimension ref="B1:Z71"/>
  <sheetViews>
    <sheetView zoomScale="140" zoomScaleNormal="140" workbookViewId="0">
      <selection activeCell="U18" sqref="U18"/>
    </sheetView>
  </sheetViews>
  <sheetFormatPr baseColWidth="10" defaultRowHeight="12.75" x14ac:dyDescent="0.2"/>
  <cols>
    <col min="1" max="1" width="0.5703125" style="54" customWidth="1"/>
    <col min="2" max="2" width="13.140625" style="54" customWidth="1"/>
    <col min="3" max="3" width="8.85546875" style="54" customWidth="1"/>
    <col min="4" max="4" width="11.42578125" style="54" customWidth="1"/>
    <col min="5" max="5" width="8.85546875" style="54" hidden="1" customWidth="1"/>
    <col min="6" max="6" width="12.28515625" style="54" customWidth="1"/>
    <col min="7" max="7" width="12.7109375" style="54" customWidth="1"/>
    <col min="8" max="8" width="10.85546875" style="54" customWidth="1"/>
    <col min="9" max="9" width="11.28515625" style="54" customWidth="1"/>
    <col min="10" max="10" width="10.42578125" style="54" customWidth="1"/>
    <col min="11" max="11" width="12.140625" style="54" customWidth="1"/>
    <col min="12" max="12" width="11.42578125" style="54" customWidth="1"/>
    <col min="13" max="13" width="12.28515625" style="54" customWidth="1"/>
    <col min="14" max="14" width="10.85546875" style="54" customWidth="1"/>
    <col min="15" max="15" width="11.28515625" style="54" customWidth="1"/>
    <col min="16" max="16" width="11.5703125" style="54" customWidth="1"/>
    <col min="17" max="17" width="7.7109375" style="54" customWidth="1"/>
    <col min="18" max="18" width="7.85546875" style="54" customWidth="1"/>
    <col min="19" max="19" width="9.140625" style="54" customWidth="1"/>
    <col min="20" max="20" width="7.85546875" style="54" customWidth="1"/>
    <col min="21" max="21" width="8.42578125" style="54" customWidth="1"/>
    <col min="22" max="22" width="8.28515625" style="54" customWidth="1"/>
    <col min="23" max="23" width="9.42578125" style="54" customWidth="1"/>
    <col min="24" max="24" width="9.28515625" style="54" customWidth="1"/>
    <col min="25" max="16384" width="11.42578125" style="54"/>
  </cols>
  <sheetData>
    <row r="1" spans="2:26" ht="18.75" customHeight="1" x14ac:dyDescent="0.3">
      <c r="B1" s="291" t="s">
        <v>22</v>
      </c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Z1" s="55"/>
    </row>
    <row r="2" spans="2:26" ht="16.5" customHeight="1" x14ac:dyDescent="0.3">
      <c r="B2" s="291" t="s">
        <v>49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Z2" s="55"/>
    </row>
    <row r="3" spans="2:26" x14ac:dyDescent="0.2">
      <c r="Z3" s="55"/>
    </row>
    <row r="4" spans="2:26" ht="15.75" x14ac:dyDescent="0.25">
      <c r="B4" s="292" t="s">
        <v>76</v>
      </c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Z4" s="55"/>
    </row>
    <row r="5" spans="2:26" ht="15.75" x14ac:dyDescent="0.25">
      <c r="B5" s="292" t="s">
        <v>108</v>
      </c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Z5" s="55"/>
    </row>
    <row r="6" spans="2:26" x14ac:dyDescent="0.2">
      <c r="B6" s="63" t="s">
        <v>131</v>
      </c>
      <c r="C6" s="63"/>
      <c r="D6" s="63"/>
      <c r="Z6" s="55"/>
    </row>
    <row r="7" spans="2:26" ht="15" x14ac:dyDescent="0.25">
      <c r="B7" s="70" t="s">
        <v>136</v>
      </c>
      <c r="C7" s="70"/>
      <c r="D7" s="70"/>
      <c r="X7" s="58"/>
      <c r="Z7" s="55"/>
    </row>
    <row r="8" spans="2:26" ht="13.5" thickBot="1" x14ac:dyDescent="0.25">
      <c r="Z8" s="55"/>
    </row>
    <row r="9" spans="2:26" s="81" customFormat="1" ht="36.75" customHeight="1" thickBot="1" x14ac:dyDescent="0.25">
      <c r="B9" s="293" t="s">
        <v>51</v>
      </c>
      <c r="C9" s="287" t="s">
        <v>52</v>
      </c>
      <c r="D9" s="302" t="s">
        <v>77</v>
      </c>
      <c r="E9" s="82" t="s">
        <v>78</v>
      </c>
      <c r="F9" s="287" t="s">
        <v>79</v>
      </c>
      <c r="G9" s="289" t="s">
        <v>80</v>
      </c>
      <c r="H9" s="287" t="s">
        <v>81</v>
      </c>
      <c r="I9" s="287" t="s">
        <v>82</v>
      </c>
      <c r="J9" s="287" t="s">
        <v>83</v>
      </c>
      <c r="K9" s="295" t="s">
        <v>57</v>
      </c>
      <c r="L9" s="296"/>
      <c r="M9" s="296"/>
      <c r="N9" s="296"/>
      <c r="O9" s="287" t="s">
        <v>84</v>
      </c>
      <c r="P9" s="287" t="s">
        <v>85</v>
      </c>
      <c r="Q9" s="297" t="s">
        <v>86</v>
      </c>
      <c r="R9" s="298"/>
      <c r="S9" s="299"/>
      <c r="T9" s="287" t="s">
        <v>87</v>
      </c>
      <c r="U9" s="297" t="s">
        <v>61</v>
      </c>
      <c r="V9" s="300"/>
      <c r="W9" s="295" t="s">
        <v>88</v>
      </c>
      <c r="X9" s="301"/>
      <c r="Y9" s="83"/>
      <c r="Z9" s="83"/>
    </row>
    <row r="10" spans="2:26" s="84" customFormat="1" ht="18" customHeight="1" thickBot="1" x14ac:dyDescent="0.25">
      <c r="B10" s="294"/>
      <c r="C10" s="288"/>
      <c r="D10" s="303"/>
      <c r="E10" s="85" t="s">
        <v>89</v>
      </c>
      <c r="F10" s="288"/>
      <c r="G10" s="290"/>
      <c r="H10" s="288"/>
      <c r="I10" s="288"/>
      <c r="J10" s="288"/>
      <c r="K10" s="86" t="s">
        <v>63</v>
      </c>
      <c r="L10" s="87" t="s">
        <v>64</v>
      </c>
      <c r="M10" s="87" t="s">
        <v>65</v>
      </c>
      <c r="N10" s="86" t="s">
        <v>90</v>
      </c>
      <c r="O10" s="288" t="s">
        <v>91</v>
      </c>
      <c r="P10" s="288"/>
      <c r="Q10" s="86" t="s">
        <v>92</v>
      </c>
      <c r="R10" s="87" t="s">
        <v>93</v>
      </c>
      <c r="S10" s="86" t="s">
        <v>69</v>
      </c>
      <c r="T10" s="288" t="s">
        <v>94</v>
      </c>
      <c r="U10" s="86" t="s">
        <v>67</v>
      </c>
      <c r="V10" s="87" t="s">
        <v>68</v>
      </c>
      <c r="W10" s="88" t="s">
        <v>52</v>
      </c>
      <c r="X10" s="89" t="s">
        <v>69</v>
      </c>
      <c r="Y10" s="79"/>
      <c r="Z10" s="79"/>
    </row>
    <row r="11" spans="2:26" s="56" customFormat="1" x14ac:dyDescent="0.2">
      <c r="B11" s="90" t="s">
        <v>70</v>
      </c>
      <c r="C11" s="67" t="s">
        <v>107</v>
      </c>
      <c r="D11" s="68">
        <v>42685</v>
      </c>
      <c r="E11" s="91"/>
      <c r="F11" s="92">
        <f>'25.04.17'!C10</f>
        <v>1996685.47</v>
      </c>
      <c r="G11" s="92">
        <f>'25.04.17'!F10</f>
        <v>228391.38</v>
      </c>
      <c r="H11" s="92">
        <f>G11/F11*100</f>
        <v>11.438525668241578</v>
      </c>
      <c r="I11" s="92">
        <f>'25.04.17'!D10</f>
        <v>28313.53</v>
      </c>
      <c r="J11" s="92">
        <f>F11/I11</f>
        <v>70.520541592659058</v>
      </c>
      <c r="K11" s="92">
        <f>'25.04.17'!G10</f>
        <v>1630355</v>
      </c>
      <c r="L11" s="92">
        <f>'25.04.17'!H10</f>
        <v>2906470</v>
      </c>
      <c r="M11" s="92">
        <f>K11+L11</f>
        <v>4536825</v>
      </c>
      <c r="N11" s="92">
        <f>'25.04.17'!J10</f>
        <v>0</v>
      </c>
      <c r="O11" s="93">
        <f>'25.04.17'!N10</f>
        <v>15257527.539999999</v>
      </c>
      <c r="P11" s="93">
        <f>'25.04.17'!O10</f>
        <v>0</v>
      </c>
      <c r="Q11" s="92">
        <f>(M11+N11)/F11*100</f>
        <v>227.21781012409531</v>
      </c>
      <c r="R11" s="94">
        <f>(O11+P11)/F11</f>
        <v>7.6414276405787636</v>
      </c>
      <c r="S11" s="92">
        <f>Q11-Q12</f>
        <v>16.624429491428458</v>
      </c>
      <c r="T11" s="92">
        <v>7.5</v>
      </c>
      <c r="U11" s="95">
        <v>158</v>
      </c>
      <c r="V11" s="92">
        <f>(100-T11)*(U11)/100</f>
        <v>146.15</v>
      </c>
      <c r="W11" s="94">
        <f>F11/U11</f>
        <v>12637.249810126583</v>
      </c>
      <c r="X11" s="96"/>
      <c r="Y11" s="97"/>
      <c r="Z11" s="80"/>
    </row>
    <row r="12" spans="2:26" s="56" customFormat="1" x14ac:dyDescent="0.2">
      <c r="B12" s="90"/>
      <c r="C12" s="73" t="s">
        <v>97</v>
      </c>
      <c r="D12" s="74">
        <v>42336</v>
      </c>
      <c r="E12" s="98"/>
      <c r="F12" s="92">
        <v>1773413.29</v>
      </c>
      <c r="G12" s="92">
        <v>255683.09</v>
      </c>
      <c r="H12" s="92">
        <f>G12/F12*100</f>
        <v>14.417569296551285</v>
      </c>
      <c r="I12" s="92">
        <v>25580.1</v>
      </c>
      <c r="J12" s="92">
        <f>F12/I12</f>
        <v>69.327848210132103</v>
      </c>
      <c r="K12" s="92">
        <v>1045433</v>
      </c>
      <c r="L12" s="92">
        <v>2689258</v>
      </c>
      <c r="M12" s="92">
        <f>K12+L12</f>
        <v>3734691</v>
      </c>
      <c r="N12" s="92">
        <v>0</v>
      </c>
      <c r="O12" s="93">
        <v>14156083.699999999</v>
      </c>
      <c r="P12" s="93">
        <v>0</v>
      </c>
      <c r="Q12" s="92">
        <f>(M12+N12)/F12*100</f>
        <v>210.59338063266685</v>
      </c>
      <c r="R12" s="94">
        <f>(O12+P12)/F12</f>
        <v>7.9823940532215136</v>
      </c>
      <c r="S12" s="92">
        <f>R11-R12</f>
        <v>-0.34096641264275007</v>
      </c>
      <c r="T12" s="92">
        <v>6.4</v>
      </c>
      <c r="U12" s="95">
        <v>144</v>
      </c>
      <c r="V12" s="92">
        <f>(100-T12)*(U12)/100</f>
        <v>134.78399999999999</v>
      </c>
      <c r="W12" s="94">
        <f>F12/U12</f>
        <v>12315.370069444445</v>
      </c>
      <c r="X12" s="92">
        <f>W11-W12</f>
        <v>321.87974068213771</v>
      </c>
      <c r="Y12" s="97"/>
      <c r="Z12" s="80"/>
    </row>
    <row r="13" spans="2:26" s="56" customFormat="1" x14ac:dyDescent="0.2">
      <c r="B13" s="99"/>
      <c r="C13" s="75"/>
      <c r="D13" s="76"/>
      <c r="E13" s="100"/>
      <c r="F13" s="101"/>
      <c r="G13" s="101"/>
      <c r="H13" s="101"/>
      <c r="I13" s="101"/>
      <c r="J13" s="101"/>
      <c r="K13" s="101"/>
      <c r="L13" s="101"/>
      <c r="M13" s="101"/>
      <c r="N13" s="101"/>
      <c r="O13" s="102"/>
      <c r="P13" s="93"/>
      <c r="Q13" s="101"/>
      <c r="R13" s="103"/>
      <c r="S13" s="101"/>
      <c r="T13" s="101"/>
      <c r="U13" s="104"/>
      <c r="V13" s="101"/>
      <c r="W13" s="103"/>
      <c r="X13" s="101"/>
      <c r="Y13" s="97"/>
      <c r="Z13" s="80"/>
    </row>
    <row r="14" spans="2:26" s="56" customFormat="1" x14ac:dyDescent="0.2">
      <c r="B14" s="105" t="s">
        <v>71</v>
      </c>
      <c r="C14" s="67" t="s">
        <v>107</v>
      </c>
      <c r="D14" s="68">
        <v>42690</v>
      </c>
      <c r="E14" s="106"/>
      <c r="F14" s="107">
        <f>'25.04.17'!C11</f>
        <v>1663361.84</v>
      </c>
      <c r="G14" s="108">
        <f>'25.04.17'!F11</f>
        <v>126727.94</v>
      </c>
      <c r="H14" s="92">
        <f>G14/F14*100</f>
        <v>7.6187836556356245</v>
      </c>
      <c r="I14" s="92">
        <f>'25.04.17'!D11</f>
        <v>26950.13</v>
      </c>
      <c r="J14" s="92">
        <f>F14/I14</f>
        <v>61.719993187416911</v>
      </c>
      <c r="K14" s="109">
        <f>'25.04.17'!G11</f>
        <v>2864486.41</v>
      </c>
      <c r="L14" s="92">
        <f>'25.04.17'!H11</f>
        <v>1152846.28</v>
      </c>
      <c r="M14" s="107">
        <f>K14+L14</f>
        <v>4017332.6900000004</v>
      </c>
      <c r="N14" s="107">
        <f>'25.04.17'!J11</f>
        <v>0</v>
      </c>
      <c r="O14" s="108">
        <f>'25.04.17'!N11</f>
        <v>12543329</v>
      </c>
      <c r="P14" s="108">
        <f>'25.04.17'!O11</f>
        <v>0</v>
      </c>
      <c r="Q14" s="92">
        <f>(M14+N14)/F14*100</f>
        <v>241.5188681976737</v>
      </c>
      <c r="R14" s="94">
        <f>(O14+P14)/F14</f>
        <v>7.540950320226175</v>
      </c>
      <c r="S14" s="92">
        <f>Q14-Q15</f>
        <v>13.432253236103264</v>
      </c>
      <c r="T14" s="107">
        <v>7.04</v>
      </c>
      <c r="U14" s="110">
        <v>135</v>
      </c>
      <c r="V14" s="92">
        <f>(100-T14)*(U14)/100</f>
        <v>125.49599999999998</v>
      </c>
      <c r="W14" s="94">
        <f>F14/U14</f>
        <v>12321.198814814816</v>
      </c>
      <c r="X14" s="107"/>
      <c r="Y14" s="97"/>
      <c r="Z14" s="80"/>
    </row>
    <row r="15" spans="2:26" s="56" customFormat="1" x14ac:dyDescent="0.2">
      <c r="B15" s="90"/>
      <c r="C15" s="73" t="s">
        <v>97</v>
      </c>
      <c r="D15" s="74">
        <v>42340</v>
      </c>
      <c r="E15" s="98"/>
      <c r="F15" s="92">
        <v>1503204.5</v>
      </c>
      <c r="G15" s="93">
        <v>185495</v>
      </c>
      <c r="H15" s="92">
        <f>G15/F15*100</f>
        <v>12.339971041864231</v>
      </c>
      <c r="I15" s="94">
        <v>26177.13</v>
      </c>
      <c r="J15" s="92">
        <f>F15/I15</f>
        <v>57.4243433103629</v>
      </c>
      <c r="K15" s="94">
        <v>1989364.56</v>
      </c>
      <c r="L15" s="92">
        <v>1439243.7</v>
      </c>
      <c r="M15" s="92">
        <f>K15+L15</f>
        <v>3428608.26</v>
      </c>
      <c r="N15" s="92">
        <v>0</v>
      </c>
      <c r="O15" s="93">
        <v>12154342</v>
      </c>
      <c r="P15" s="93">
        <v>0</v>
      </c>
      <c r="Q15" s="92">
        <f>(M15+N15)/F15*100</f>
        <v>228.08661496157043</v>
      </c>
      <c r="R15" s="94">
        <f>(O15+P15)/F15</f>
        <v>8.0856210848224581</v>
      </c>
      <c r="S15" s="92">
        <f>R14-R15</f>
        <v>-0.54467076459628316</v>
      </c>
      <c r="T15" s="92">
        <v>14.76</v>
      </c>
      <c r="U15" s="95">
        <v>136</v>
      </c>
      <c r="V15" s="92">
        <f>(100-T15)*(U15)/100</f>
        <v>115.9264</v>
      </c>
      <c r="W15" s="94">
        <f>F15/U15</f>
        <v>11052.974264705883</v>
      </c>
      <c r="X15" s="92">
        <f>W14-W15</f>
        <v>1268.2245501089328</v>
      </c>
      <c r="Y15" s="97"/>
      <c r="Z15" s="80"/>
    </row>
    <row r="16" spans="2:26" s="56" customFormat="1" x14ac:dyDescent="0.2">
      <c r="B16" s="99"/>
      <c r="C16" s="75"/>
      <c r="D16" s="76"/>
      <c r="E16" s="100"/>
      <c r="F16" s="101"/>
      <c r="G16" s="102"/>
      <c r="H16" s="101"/>
      <c r="I16" s="103"/>
      <c r="J16" s="103"/>
      <c r="K16" s="103"/>
      <c r="L16" s="101"/>
      <c r="M16" s="101"/>
      <c r="N16" s="101"/>
      <c r="O16" s="102"/>
      <c r="P16" s="93"/>
      <c r="Q16" s="101"/>
      <c r="R16" s="103"/>
      <c r="S16" s="101"/>
      <c r="T16" s="101"/>
      <c r="U16" s="104"/>
      <c r="V16" s="101"/>
      <c r="W16" s="103"/>
      <c r="X16" s="101"/>
      <c r="Y16" s="97"/>
      <c r="Z16" s="80"/>
    </row>
    <row r="17" spans="2:26" s="56" customFormat="1" x14ac:dyDescent="0.2">
      <c r="B17" s="105" t="s">
        <v>72</v>
      </c>
      <c r="C17" s="67" t="s">
        <v>107</v>
      </c>
      <c r="D17" s="68">
        <v>42692</v>
      </c>
      <c r="E17" s="111"/>
      <c r="F17" s="107">
        <f>'25.04.17'!C12</f>
        <v>1276762.29</v>
      </c>
      <c r="G17" s="107">
        <f>'25.04.17'!F12</f>
        <v>52875</v>
      </c>
      <c r="H17" s="92">
        <f>G17/F17*100</f>
        <v>4.1413347194018391</v>
      </c>
      <c r="I17" s="92">
        <f>'25.04.17'!D12</f>
        <v>19470.240000000002</v>
      </c>
      <c r="J17" s="92">
        <f>F17/I17</f>
        <v>65.575066871286637</v>
      </c>
      <c r="K17" s="107">
        <f>'25.04.17'!G12</f>
        <v>2058960</v>
      </c>
      <c r="L17" s="107">
        <f>'25.04.17'!H12</f>
        <v>768748</v>
      </c>
      <c r="M17" s="107">
        <f>K17+L17</f>
        <v>2827708</v>
      </c>
      <c r="N17" s="107">
        <f>'25.04.17'!J12</f>
        <v>0</v>
      </c>
      <c r="O17" s="108">
        <f>'25.04.17'!N12</f>
        <v>10230383.880000001</v>
      </c>
      <c r="P17" s="108">
        <f>'25.04.17'!O12</f>
        <v>0</v>
      </c>
      <c r="Q17" s="92">
        <f>(M17+N17)/F17*100</f>
        <v>221.47489960719312</v>
      </c>
      <c r="R17" s="94">
        <f>(O17+P17)/F17</f>
        <v>8.0127553579296276</v>
      </c>
      <c r="S17" s="92">
        <f>Q17-Q18</f>
        <v>22.907281464238054</v>
      </c>
      <c r="T17" s="107">
        <v>3.88</v>
      </c>
      <c r="U17" s="110">
        <v>159</v>
      </c>
      <c r="V17" s="92">
        <f>(100-T17)*(U17)/100</f>
        <v>152.83080000000001</v>
      </c>
      <c r="W17" s="94">
        <f>F17/U17</f>
        <v>8029.9515094339622</v>
      </c>
      <c r="X17" s="107"/>
      <c r="Y17" s="97"/>
      <c r="Z17" s="80"/>
    </row>
    <row r="18" spans="2:26" s="56" customFormat="1" x14ac:dyDescent="0.2">
      <c r="B18" s="90"/>
      <c r="C18" s="73" t="s">
        <v>97</v>
      </c>
      <c r="D18" s="74">
        <v>42338</v>
      </c>
      <c r="E18" s="91"/>
      <c r="F18" s="92">
        <v>1042976.07</v>
      </c>
      <c r="G18" s="92">
        <v>40863.1</v>
      </c>
      <c r="H18" s="92">
        <f>G18/F18*100</f>
        <v>3.9179326520885565</v>
      </c>
      <c r="I18" s="92">
        <v>24622.5</v>
      </c>
      <c r="J18" s="92">
        <f>F18/I18</f>
        <v>42.358658544014617</v>
      </c>
      <c r="K18" s="92">
        <v>1340226.9099999999</v>
      </c>
      <c r="L18" s="92">
        <v>730785.83</v>
      </c>
      <c r="M18" s="92">
        <f>K18+L18</f>
        <v>2071012.7399999998</v>
      </c>
      <c r="N18" s="92">
        <v>0</v>
      </c>
      <c r="O18" s="93">
        <v>9315226.7300000004</v>
      </c>
      <c r="P18" s="93">
        <v>0</v>
      </c>
      <c r="Q18" s="92">
        <f>(M18+N18)/F18*100</f>
        <v>198.56761814295507</v>
      </c>
      <c r="R18" s="94">
        <f>(O18+P18)/F18</f>
        <v>8.931390659806798</v>
      </c>
      <c r="S18" s="92">
        <f>R17-R18</f>
        <v>-0.91863530187717046</v>
      </c>
      <c r="T18" s="112">
        <v>5.65</v>
      </c>
      <c r="U18" s="95">
        <v>134</v>
      </c>
      <c r="V18" s="92">
        <f>(100-T18)*(U18)/100</f>
        <v>126.429</v>
      </c>
      <c r="W18" s="94">
        <f>F18/U18</f>
        <v>7783.4035074626863</v>
      </c>
      <c r="X18" s="92">
        <f>W17-W18</f>
        <v>246.54800197127588</v>
      </c>
      <c r="Y18" s="97"/>
      <c r="Z18" s="80"/>
    </row>
    <row r="19" spans="2:26" s="56" customFormat="1" x14ac:dyDescent="0.2">
      <c r="B19" s="99"/>
      <c r="C19" s="75"/>
      <c r="D19" s="76"/>
      <c r="E19" s="100"/>
      <c r="F19" s="101"/>
      <c r="G19" s="101"/>
      <c r="H19" s="92"/>
      <c r="I19" s="92"/>
      <c r="J19" s="101"/>
      <c r="K19" s="101"/>
      <c r="L19" s="101"/>
      <c r="M19" s="101"/>
      <c r="N19" s="101"/>
      <c r="O19" s="102"/>
      <c r="P19" s="93"/>
      <c r="Q19" s="101"/>
      <c r="R19" s="103"/>
      <c r="S19" s="101"/>
      <c r="T19" s="101"/>
      <c r="U19" s="104"/>
      <c r="V19" s="101"/>
      <c r="W19" s="94"/>
      <c r="X19" s="101"/>
      <c r="Y19" s="97"/>
      <c r="Z19" s="80"/>
    </row>
    <row r="20" spans="2:26" s="56" customFormat="1" x14ac:dyDescent="0.2">
      <c r="B20" s="105" t="s">
        <v>73</v>
      </c>
      <c r="C20" s="67" t="s">
        <v>107</v>
      </c>
      <c r="D20" s="68">
        <v>42682</v>
      </c>
      <c r="E20" s="106"/>
      <c r="F20" s="107">
        <f>'25.04.17'!C13</f>
        <v>1011770.8586</v>
      </c>
      <c r="G20" s="108">
        <f>'25.04.17'!F13</f>
        <v>99623.15</v>
      </c>
      <c r="H20" s="107">
        <f>G20/F20*100</f>
        <v>9.8464142501445231</v>
      </c>
      <c r="I20" s="107">
        <f>'25.04.17'!D13</f>
        <v>16577.349999999999</v>
      </c>
      <c r="J20" s="92">
        <f>F20/I20</f>
        <v>61.033329126790477</v>
      </c>
      <c r="K20" s="109">
        <f>'25.04.17'!G13</f>
        <v>1459688.04</v>
      </c>
      <c r="L20" s="107">
        <f>'25.04.17'!H13</f>
        <v>922746.73899999994</v>
      </c>
      <c r="M20" s="107">
        <f>K20+L20</f>
        <v>2382434.7790000001</v>
      </c>
      <c r="N20" s="107">
        <f>'25.04.17'!J13</f>
        <v>0</v>
      </c>
      <c r="O20" s="108">
        <f>'25.04.17'!N13</f>
        <v>8083536.7368000001</v>
      </c>
      <c r="P20" s="108">
        <f>'25.04.17'!O13</f>
        <v>0</v>
      </c>
      <c r="Q20" s="92">
        <f>(M20+N20)/F20*100</f>
        <v>235.47177295624078</v>
      </c>
      <c r="R20" s="94">
        <f>(O20+P20)/F20</f>
        <v>7.9894935380776735</v>
      </c>
      <c r="S20" s="107">
        <f>Q20-Q21</f>
        <v>12.977805091693114</v>
      </c>
      <c r="T20" s="107">
        <v>10.26</v>
      </c>
      <c r="U20" s="110">
        <v>155</v>
      </c>
      <c r="V20" s="92">
        <f>(100-T20)*(U20)/100</f>
        <v>139.09699999999998</v>
      </c>
      <c r="W20" s="109">
        <f>F20/U20</f>
        <v>6527.5539264516128</v>
      </c>
      <c r="X20" s="107"/>
      <c r="Y20" s="97"/>
      <c r="Z20" s="80"/>
    </row>
    <row r="21" spans="2:26" s="56" customFormat="1" x14ac:dyDescent="0.2">
      <c r="B21" s="90"/>
      <c r="C21" s="73" t="s">
        <v>97</v>
      </c>
      <c r="D21" s="74">
        <v>42339</v>
      </c>
      <c r="E21" s="98"/>
      <c r="F21" s="92">
        <v>936645.91</v>
      </c>
      <c r="G21" s="93">
        <v>137879.35</v>
      </c>
      <c r="H21" s="92">
        <f>G21/F21*100</f>
        <v>14.720541511786456</v>
      </c>
      <c r="I21" s="94">
        <v>14848.72</v>
      </c>
      <c r="J21" s="92">
        <f>F21/I21</f>
        <v>63.07923578598021</v>
      </c>
      <c r="K21" s="94">
        <v>1128408.04</v>
      </c>
      <c r="L21" s="92">
        <v>940133.26</v>
      </c>
      <c r="M21" s="92">
        <f>K21+L21</f>
        <v>2068541.3</v>
      </c>
      <c r="N21" s="92">
        <v>15439.35</v>
      </c>
      <c r="O21" s="93">
        <v>7464781.1299999999</v>
      </c>
      <c r="P21" s="93">
        <v>111060.13</v>
      </c>
      <c r="Q21" s="92">
        <f>(M21+N21)/F21*100</f>
        <v>222.49396786454767</v>
      </c>
      <c r="R21" s="94">
        <f>(O21+P21)/F21</f>
        <v>8.0882659915741257</v>
      </c>
      <c r="S21" s="92">
        <f>R20-R21</f>
        <v>-9.877245349645225E-2</v>
      </c>
      <c r="T21" s="92">
        <v>12.48</v>
      </c>
      <c r="U21" s="95">
        <v>143</v>
      </c>
      <c r="V21" s="92">
        <f>(100-T21)*(U21)/100</f>
        <v>125.15359999999998</v>
      </c>
      <c r="W21" s="94">
        <f>F21/U21</f>
        <v>6549.9713986013985</v>
      </c>
      <c r="X21" s="92">
        <f>W20-W21</f>
        <v>-22.417472149785681</v>
      </c>
      <c r="Y21" s="97"/>
      <c r="Z21" s="80"/>
    </row>
    <row r="22" spans="2:26" s="56" customFormat="1" x14ac:dyDescent="0.2">
      <c r="B22" s="99"/>
      <c r="C22" s="75"/>
      <c r="D22" s="76"/>
      <c r="E22" s="100"/>
      <c r="F22" s="101"/>
      <c r="G22" s="102"/>
      <c r="H22" s="101"/>
      <c r="I22" s="103"/>
      <c r="J22" s="103"/>
      <c r="K22" s="103"/>
      <c r="L22" s="101"/>
      <c r="M22" s="101"/>
      <c r="N22" s="101"/>
      <c r="O22" s="102"/>
      <c r="P22" s="93"/>
      <c r="Q22" s="101"/>
      <c r="R22" s="103"/>
      <c r="S22" s="92"/>
      <c r="T22" s="92"/>
      <c r="U22" s="104"/>
      <c r="V22" s="93"/>
      <c r="W22" s="92"/>
      <c r="X22" s="101"/>
      <c r="Y22" s="97"/>
      <c r="Z22" s="80"/>
    </row>
    <row r="23" spans="2:26" s="56" customFormat="1" x14ac:dyDescent="0.2">
      <c r="B23" s="105" t="s">
        <v>74</v>
      </c>
      <c r="C23" s="67" t="s">
        <v>107</v>
      </c>
      <c r="D23" s="68">
        <v>42697</v>
      </c>
      <c r="E23" s="106"/>
      <c r="F23" s="107">
        <f>'25.04.17'!C14</f>
        <v>922311.81</v>
      </c>
      <c r="G23" s="107">
        <f>'25.04.17'!F14</f>
        <v>58540</v>
      </c>
      <c r="H23" s="107">
        <f>G23/F23*100</f>
        <v>6.347094265224686</v>
      </c>
      <c r="I23" s="107">
        <f>'25.04.17'!D14</f>
        <v>15281.73</v>
      </c>
      <c r="J23" s="92">
        <f>F23/I23</f>
        <v>60.353887288939148</v>
      </c>
      <c r="K23" s="107">
        <f>'25.04.17'!G14</f>
        <v>1520622.07</v>
      </c>
      <c r="L23" s="107">
        <f>'25.04.17'!H14</f>
        <v>562848.6</v>
      </c>
      <c r="M23" s="107">
        <f>K23+L23</f>
        <v>2083470.67</v>
      </c>
      <c r="N23" s="107">
        <f>'25.04.17'!J14</f>
        <v>0</v>
      </c>
      <c r="O23" s="108">
        <f>'25.04.17'!N14</f>
        <v>7362784</v>
      </c>
      <c r="P23" s="108">
        <f>'25.04.17'!O14</f>
        <v>0</v>
      </c>
      <c r="Q23" s="92">
        <f>(M23+N23)/F23*100</f>
        <v>225.89656203144571</v>
      </c>
      <c r="R23" s="198">
        <f>(O23+P23)/F23</f>
        <v>7.9829661944803672</v>
      </c>
      <c r="S23" s="108">
        <f>Q23-Q24</f>
        <v>21.839927259836287</v>
      </c>
      <c r="T23" s="107">
        <v>8.6300000000000008</v>
      </c>
      <c r="U23" s="195">
        <v>144</v>
      </c>
      <c r="V23" s="108">
        <f>(100-T23)*(U23)/100</f>
        <v>131.5728</v>
      </c>
      <c r="W23" s="107">
        <f>F23/U23</f>
        <v>6404.9431250000007</v>
      </c>
      <c r="X23" s="109"/>
      <c r="Y23" s="97"/>
      <c r="Z23" s="80"/>
    </row>
    <row r="24" spans="2:26" s="56" customFormat="1" x14ac:dyDescent="0.2">
      <c r="B24" s="90"/>
      <c r="C24" s="73" t="s">
        <v>97</v>
      </c>
      <c r="D24" s="74">
        <v>42341</v>
      </c>
      <c r="E24" s="98"/>
      <c r="F24" s="92">
        <v>774334.19</v>
      </c>
      <c r="G24" s="92">
        <v>87606</v>
      </c>
      <c r="H24" s="92">
        <f>G24/F24*100</f>
        <v>11.313719726104306</v>
      </c>
      <c r="I24" s="92">
        <v>16559.75</v>
      </c>
      <c r="J24" s="92">
        <f>F24/I24</f>
        <v>46.760016908467819</v>
      </c>
      <c r="K24" s="92">
        <v>1037818.38</v>
      </c>
      <c r="L24" s="92">
        <v>542261.91</v>
      </c>
      <c r="M24" s="92">
        <f>K24+L24</f>
        <v>1580080.29</v>
      </c>
      <c r="N24" s="92">
        <v>0</v>
      </c>
      <c r="O24" s="93">
        <v>6617616</v>
      </c>
      <c r="P24" s="93">
        <v>0</v>
      </c>
      <c r="Q24" s="92">
        <f>(M24+N24)/F24*100</f>
        <v>204.05663477160942</v>
      </c>
      <c r="R24" s="198">
        <f>(O24+P24)/F24</f>
        <v>8.5462014792346963</v>
      </c>
      <c r="S24" s="93">
        <f>R23-R24</f>
        <v>-0.56323528475432916</v>
      </c>
      <c r="T24" s="92">
        <v>13.51</v>
      </c>
      <c r="U24" s="196">
        <v>134</v>
      </c>
      <c r="V24" s="93">
        <f>(100-T24)*(U24)/100</f>
        <v>115.89659999999999</v>
      </c>
      <c r="W24" s="92">
        <f>F24/U24</f>
        <v>5778.6133582089551</v>
      </c>
      <c r="X24" s="94">
        <f>W23-W24</f>
        <v>626.32976679104559</v>
      </c>
      <c r="Y24" s="97"/>
      <c r="Z24" s="80"/>
    </row>
    <row r="25" spans="2:26" s="56" customFormat="1" x14ac:dyDescent="0.2">
      <c r="B25" s="99"/>
      <c r="C25" s="75"/>
      <c r="D25" s="76"/>
      <c r="E25" s="100"/>
      <c r="F25" s="101"/>
      <c r="G25" s="101"/>
      <c r="H25" s="101"/>
      <c r="I25" s="101"/>
      <c r="J25" s="101"/>
      <c r="K25" s="101"/>
      <c r="L25" s="101"/>
      <c r="M25" s="101"/>
      <c r="N25" s="101"/>
      <c r="O25" s="102"/>
      <c r="P25" s="93"/>
      <c r="Q25" s="92"/>
      <c r="R25" s="198"/>
      <c r="S25" s="102"/>
      <c r="T25" s="101"/>
      <c r="U25" s="197"/>
      <c r="V25" s="102"/>
      <c r="W25" s="101"/>
      <c r="X25" s="103"/>
      <c r="Y25" s="97"/>
      <c r="Z25" s="80"/>
    </row>
    <row r="26" spans="2:26" s="56" customFormat="1" x14ac:dyDescent="0.2">
      <c r="B26" s="105" t="s">
        <v>75</v>
      </c>
      <c r="C26" s="67" t="s">
        <v>107</v>
      </c>
      <c r="D26" s="68">
        <v>42710</v>
      </c>
      <c r="E26" s="106"/>
      <c r="F26" s="107">
        <f>'25.04.17'!C15</f>
        <v>331249.09499999997</v>
      </c>
      <c r="G26" s="107">
        <f>'25.04.17'!F15</f>
        <v>31570.29</v>
      </c>
      <c r="H26" s="107">
        <f>G26/F26*100</f>
        <v>9.5306796234416886</v>
      </c>
      <c r="I26" s="107">
        <f>'25.04.17'!D15</f>
        <v>6411.94</v>
      </c>
      <c r="J26" s="92">
        <f>F26/I26</f>
        <v>51.661290498663433</v>
      </c>
      <c r="K26" s="107">
        <f>'25.04.17'!G15</f>
        <v>466841.21</v>
      </c>
      <c r="L26" s="107">
        <f>'25.04.17'!H15</f>
        <v>325340.19</v>
      </c>
      <c r="M26" s="92">
        <f>K26+L26</f>
        <v>792181.4</v>
      </c>
      <c r="N26" s="107">
        <f>'25.04.17'!J15</f>
        <v>0</v>
      </c>
      <c r="O26" s="108">
        <f>'25.04.17'!N15</f>
        <v>2832645</v>
      </c>
      <c r="P26" s="108">
        <f>'25.04.17'!O15</f>
        <v>0</v>
      </c>
      <c r="Q26" s="108">
        <f>(M26+N26)/F26*100</f>
        <v>239.14975526197287</v>
      </c>
      <c r="R26" s="107">
        <f>(O26+P26)/F26</f>
        <v>8.5514044951579429</v>
      </c>
      <c r="S26" s="92">
        <f>R25-R26</f>
        <v>-8.5514044951579429</v>
      </c>
      <c r="T26" s="94">
        <v>3.59</v>
      </c>
      <c r="U26" s="195">
        <v>101</v>
      </c>
      <c r="V26" s="92">
        <f>(100-T26)*(U26)/100</f>
        <v>97.374099999999999</v>
      </c>
      <c r="W26" s="94">
        <f>F26/U26</f>
        <v>3279.6940099009898</v>
      </c>
      <c r="X26" s="107"/>
      <c r="Y26" s="97"/>
      <c r="Z26" s="80"/>
    </row>
    <row r="27" spans="2:26" s="56" customFormat="1" x14ac:dyDescent="0.2">
      <c r="B27" s="90"/>
      <c r="C27" s="73" t="s">
        <v>97</v>
      </c>
      <c r="D27" s="74">
        <v>42348</v>
      </c>
      <c r="E27" s="98"/>
      <c r="F27" s="92">
        <v>423349.49</v>
      </c>
      <c r="G27" s="92">
        <v>50809</v>
      </c>
      <c r="H27" s="92">
        <f>G27/F27*100</f>
        <v>12.001667936342619</v>
      </c>
      <c r="I27" s="92">
        <v>6702.81</v>
      </c>
      <c r="J27" s="92">
        <f>F27/I27</f>
        <v>63.16000155158806</v>
      </c>
      <c r="K27" s="92">
        <v>576657.80000000005</v>
      </c>
      <c r="L27" s="92">
        <v>380297.78</v>
      </c>
      <c r="M27" s="92">
        <f>K27+L27</f>
        <v>956955.58000000007</v>
      </c>
      <c r="N27" s="92">
        <v>6007.08</v>
      </c>
      <c r="O27" s="93">
        <v>3562809</v>
      </c>
      <c r="P27" s="93">
        <v>58023.15</v>
      </c>
      <c r="Q27" s="93">
        <f>(M27+N27)/F27*100</f>
        <v>227.46281328932275</v>
      </c>
      <c r="R27" s="92">
        <f>(O27+P27)/F27</f>
        <v>8.5528203896029265</v>
      </c>
      <c r="S27" s="92">
        <f>R26-R27</f>
        <v>-1.4158944449835786E-3</v>
      </c>
      <c r="T27" s="94">
        <v>6.07</v>
      </c>
      <c r="U27" s="196">
        <v>136</v>
      </c>
      <c r="V27" s="92">
        <f>(100-T27)*(U27)/100</f>
        <v>127.74480000000001</v>
      </c>
      <c r="W27" s="94">
        <f>F27/U27</f>
        <v>3112.8638970588236</v>
      </c>
      <c r="X27" s="92">
        <f>W26-W27</f>
        <v>166.83011284216627</v>
      </c>
      <c r="Y27" s="97"/>
      <c r="Z27" s="80"/>
    </row>
    <row r="28" spans="2:26" s="56" customFormat="1" x14ac:dyDescent="0.2">
      <c r="B28" s="99"/>
      <c r="C28" s="75"/>
      <c r="D28" s="100"/>
      <c r="E28" s="100"/>
      <c r="F28" s="101"/>
      <c r="G28" s="101"/>
      <c r="H28" s="92"/>
      <c r="I28" s="92"/>
      <c r="J28" s="92"/>
      <c r="K28" s="101"/>
      <c r="L28" s="101"/>
      <c r="M28" s="101"/>
      <c r="N28" s="101"/>
      <c r="O28" s="102"/>
      <c r="P28" s="93"/>
      <c r="Q28" s="102"/>
      <c r="R28" s="101"/>
      <c r="S28" s="101"/>
      <c r="T28" s="103"/>
      <c r="U28" s="197"/>
      <c r="V28" s="101"/>
      <c r="W28" s="103"/>
      <c r="X28" s="101"/>
      <c r="Y28" s="97"/>
      <c r="Z28" s="80"/>
    </row>
    <row r="29" spans="2:26" s="56" customFormat="1" x14ac:dyDescent="0.2">
      <c r="B29" s="113" t="s">
        <v>65</v>
      </c>
      <c r="C29" s="77" t="s">
        <v>107</v>
      </c>
      <c r="D29" s="114"/>
      <c r="E29" s="113"/>
      <c r="F29" s="115">
        <f>F11+F14+F17+F20+F26+F23</f>
        <v>7202141.3635999989</v>
      </c>
      <c r="G29" s="115">
        <f>G11+G14+G17+G20+G26+G23</f>
        <v>597727.76</v>
      </c>
      <c r="H29" s="115">
        <f>G29/F29*100</f>
        <v>8.2993061344358985</v>
      </c>
      <c r="I29" s="115">
        <f>I11+I14+I17+I20+I26+I23</f>
        <v>113004.92</v>
      </c>
      <c r="J29" s="115">
        <f>F29/I29</f>
        <v>63.732989356569597</v>
      </c>
      <c r="K29" s="115">
        <f t="shared" ref="K29:P30" si="0">K11+K14+K17+K20+K26+K23</f>
        <v>10000952.73</v>
      </c>
      <c r="L29" s="115">
        <f t="shared" si="0"/>
        <v>6638999.8090000004</v>
      </c>
      <c r="M29" s="115">
        <f t="shared" si="0"/>
        <v>16639952.539000001</v>
      </c>
      <c r="N29" s="115">
        <f t="shared" si="0"/>
        <v>0</v>
      </c>
      <c r="O29" s="115">
        <f t="shared" si="0"/>
        <v>56310206.156800002</v>
      </c>
      <c r="P29" s="115">
        <f t="shared" si="0"/>
        <v>0</v>
      </c>
      <c r="Q29" s="118">
        <f>(M29+N29)/F29*100</f>
        <v>231.0417374351911</v>
      </c>
      <c r="R29" s="116">
        <f>(O29+P29)/F29</f>
        <v>7.8185366426428038</v>
      </c>
      <c r="S29" s="118">
        <f>Q29-Q30</f>
        <v>16.267953590574848</v>
      </c>
      <c r="T29" s="118"/>
      <c r="U29" s="117"/>
      <c r="V29" s="118"/>
      <c r="W29" s="115">
        <f>W11+W14+W17+W20+W26+W23</f>
        <v>49200.59119572796</v>
      </c>
      <c r="X29" s="115"/>
      <c r="Y29" s="97"/>
      <c r="Z29" s="80"/>
    </row>
    <row r="30" spans="2:26" s="56" customFormat="1" x14ac:dyDescent="0.2">
      <c r="B30" s="119"/>
      <c r="C30" s="78" t="s">
        <v>97</v>
      </c>
      <c r="D30" s="119"/>
      <c r="E30" s="120"/>
      <c r="F30" s="121">
        <f>F12+F15+F18+F21+F27+F24</f>
        <v>6453923.4500000011</v>
      </c>
      <c r="G30" s="121">
        <f>G12+G15+G18+G21+G27+G24</f>
        <v>758335.53999999992</v>
      </c>
      <c r="H30" s="121">
        <f>G30/F30*100</f>
        <v>11.749992789269911</v>
      </c>
      <c r="I30" s="121">
        <f>I12+I15+I18+I21+I27+I24</f>
        <v>114491.01</v>
      </c>
      <c r="J30" s="121">
        <f>F30/I30</f>
        <v>56.370569619396328</v>
      </c>
      <c r="K30" s="121">
        <f t="shared" si="0"/>
        <v>7117908.6899999995</v>
      </c>
      <c r="L30" s="121">
        <f t="shared" si="0"/>
        <v>6721980.4800000004</v>
      </c>
      <c r="M30" s="121">
        <f t="shared" si="0"/>
        <v>13839889.170000002</v>
      </c>
      <c r="N30" s="121">
        <f t="shared" si="0"/>
        <v>21446.43</v>
      </c>
      <c r="O30" s="121">
        <f t="shared" si="0"/>
        <v>53270858.560000002</v>
      </c>
      <c r="P30" s="121">
        <f t="shared" si="0"/>
        <v>169083.28</v>
      </c>
      <c r="Q30" s="121">
        <f>(M30+N30)/F30*100</f>
        <v>214.77378384461625</v>
      </c>
      <c r="R30" s="122">
        <f>(O30+P30)/F30</f>
        <v>8.2802255486931742</v>
      </c>
      <c r="S30" s="121">
        <f>R29-R30</f>
        <v>-0.46168890605037038</v>
      </c>
      <c r="T30" s="121"/>
      <c r="U30" s="121"/>
      <c r="V30" s="121"/>
      <c r="W30" s="121">
        <f>W12+W15+W18+W21+W27+W24</f>
        <v>46593.196495482189</v>
      </c>
      <c r="X30" s="121">
        <f>W29-W30</f>
        <v>2607.3947002457717</v>
      </c>
      <c r="Y30" s="97"/>
      <c r="Z30" s="80"/>
    </row>
    <row r="31" spans="2:26" x14ac:dyDescent="0.2">
      <c r="B31" s="123"/>
      <c r="E31" s="124"/>
      <c r="X31" s="55"/>
      <c r="Z31" s="55"/>
    </row>
    <row r="32" spans="2:26" x14ac:dyDescent="0.2">
      <c r="B32" s="79"/>
      <c r="J32" s="125"/>
      <c r="L32" s="126"/>
      <c r="Z32" s="55"/>
    </row>
    <row r="33" spans="2:26" ht="18.75" x14ac:dyDescent="0.3">
      <c r="B33" s="79"/>
      <c r="C33" s="57"/>
      <c r="D33" s="57"/>
      <c r="E33" s="57"/>
      <c r="F33" s="55"/>
      <c r="G33" s="55"/>
      <c r="H33" s="55"/>
      <c r="I33" s="55"/>
      <c r="J33" s="55"/>
      <c r="K33" s="55"/>
      <c r="L33" s="55"/>
      <c r="X33" s="127"/>
      <c r="Z33" s="55"/>
    </row>
    <row r="34" spans="2:26" ht="18.75" x14ac:dyDescent="0.3">
      <c r="B34" s="57"/>
      <c r="C34" s="57"/>
      <c r="D34" s="57"/>
      <c r="E34" s="57"/>
      <c r="F34" s="55"/>
      <c r="G34" s="55"/>
      <c r="H34" s="55"/>
      <c r="I34" s="55"/>
      <c r="J34" s="55"/>
      <c r="K34" s="72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128"/>
      <c r="Y34" s="55"/>
      <c r="Z34" s="55"/>
    </row>
    <row r="35" spans="2:26" x14ac:dyDescent="0.2"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</row>
    <row r="36" spans="2:26" x14ac:dyDescent="0.2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</row>
    <row r="37" spans="2:26" x14ac:dyDescent="0.2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</row>
    <row r="38" spans="2:26" x14ac:dyDescent="0.2"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</row>
    <row r="39" spans="2:26" x14ac:dyDescent="0.2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</row>
    <row r="40" spans="2:26" x14ac:dyDescent="0.2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</row>
    <row r="41" spans="2:26" x14ac:dyDescent="0.2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spans="2:26" x14ac:dyDescent="0.2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spans="2:26" x14ac:dyDescent="0.2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spans="2:26" x14ac:dyDescent="0.2"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 t="s">
        <v>95</v>
      </c>
      <c r="Z44" s="55"/>
    </row>
    <row r="45" spans="2:26" x14ac:dyDescent="0.2"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spans="2:26" x14ac:dyDescent="0.2"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spans="2:26" x14ac:dyDescent="0.2"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spans="2:26" x14ac:dyDescent="0.2"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spans="2:26" x14ac:dyDescent="0.2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spans="2:26" x14ac:dyDescent="0.2"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spans="2:26" x14ac:dyDescent="0.2"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spans="2:26" x14ac:dyDescent="0.2"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spans="2:26" x14ac:dyDescent="0.2">
      <c r="W53" s="55"/>
    </row>
    <row r="54" spans="2:26" x14ac:dyDescent="0.2">
      <c r="W54" s="55"/>
    </row>
    <row r="55" spans="2:26" x14ac:dyDescent="0.2">
      <c r="W55" s="55"/>
    </row>
    <row r="56" spans="2:26" x14ac:dyDescent="0.2">
      <c r="W56" s="55"/>
    </row>
    <row r="57" spans="2:26" x14ac:dyDescent="0.2">
      <c r="W57" s="55"/>
    </row>
    <row r="58" spans="2:26" x14ac:dyDescent="0.2">
      <c r="W58" s="55"/>
    </row>
    <row r="59" spans="2:26" x14ac:dyDescent="0.2">
      <c r="W59" s="55"/>
    </row>
    <row r="60" spans="2:26" x14ac:dyDescent="0.2">
      <c r="W60" s="55"/>
    </row>
    <row r="61" spans="2:26" x14ac:dyDescent="0.2">
      <c r="W61" s="55"/>
    </row>
    <row r="62" spans="2:26" x14ac:dyDescent="0.2">
      <c r="W62" s="55"/>
    </row>
    <row r="63" spans="2:26" x14ac:dyDescent="0.2">
      <c r="W63" s="55"/>
    </row>
    <row r="64" spans="2:26" x14ac:dyDescent="0.2">
      <c r="W64" s="55"/>
    </row>
    <row r="65" spans="23:23" x14ac:dyDescent="0.2">
      <c r="W65" s="55"/>
    </row>
    <row r="66" spans="23:23" x14ac:dyDescent="0.2">
      <c r="W66" s="55"/>
    </row>
    <row r="67" spans="23:23" x14ac:dyDescent="0.2">
      <c r="W67" s="55"/>
    </row>
    <row r="68" spans="23:23" x14ac:dyDescent="0.2">
      <c r="W68" s="55"/>
    </row>
    <row r="69" spans="23:23" x14ac:dyDescent="0.2">
      <c r="W69" s="55"/>
    </row>
    <row r="70" spans="23:23" x14ac:dyDescent="0.2">
      <c r="W70" s="55"/>
    </row>
    <row r="71" spans="23:23" x14ac:dyDescent="0.2">
      <c r="W71" s="55"/>
    </row>
  </sheetData>
  <sheetProtection password="CF11" sheet="1" objects="1" scenarios="1"/>
  <mergeCells count="19">
    <mergeCell ref="W9:X9"/>
    <mergeCell ref="C9:C10"/>
    <mergeCell ref="D9:D10"/>
    <mergeCell ref="F9:F10"/>
    <mergeCell ref="G9:G10"/>
    <mergeCell ref="H9:H10"/>
    <mergeCell ref="B1:X1"/>
    <mergeCell ref="B2:X2"/>
    <mergeCell ref="B4:X4"/>
    <mergeCell ref="B5:X5"/>
    <mergeCell ref="B9:B10"/>
    <mergeCell ref="I9:I10"/>
    <mergeCell ref="J9:J10"/>
    <mergeCell ref="K9:N9"/>
    <mergeCell ref="O9:O10"/>
    <mergeCell ref="P9:P10"/>
    <mergeCell ref="Q9:S9"/>
    <mergeCell ref="T9:T10"/>
    <mergeCell ref="U9:V9"/>
  </mergeCells>
  <pageMargins left="0.27559055118110237" right="0.23622047244094491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25.04.17</vt:lpstr>
      <vt:lpstr>25.04.17 SM </vt:lpstr>
      <vt:lpstr>Quemas de caña </vt:lpstr>
      <vt:lpstr>Semanal </vt:lpstr>
      <vt:lpstr>Acumulado </vt:lpstr>
      <vt:lpstr>'25.04.17'!Área_de_impresión</vt:lpstr>
      <vt:lpstr>'25.04.17 SM '!Área_de_impresión</vt:lpstr>
    </vt:vector>
  </TitlesOfParts>
  <Company>CONSAA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karolyna</dc:creator>
  <cp:lastModifiedBy>UAIP</cp:lastModifiedBy>
  <cp:lastPrinted>2017-04-28T22:59:55Z</cp:lastPrinted>
  <dcterms:created xsi:type="dcterms:W3CDTF">2003-12-02T22:12:54Z</dcterms:created>
  <dcterms:modified xsi:type="dcterms:W3CDTF">2017-05-02T16:03:17Z</dcterms:modified>
</cp:coreProperties>
</file>