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15.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Unidad de Acceso 2023\"/>
    </mc:Choice>
  </mc:AlternateContent>
  <bookViews>
    <workbookView xWindow="0" yWindow="0" windowWidth="28800" windowHeight="11100" tabRatio="955" firstSheet="3" activeTab="6"/>
  </bookViews>
  <sheets>
    <sheet name="Hoja2" sheetId="96" r:id="rId1"/>
    <sheet name="DECRETO DEL PRESUPUESTO" sheetId="35" r:id="rId2"/>
    <sheet name="RESUMEN DE INGRESOS " sheetId="45" r:id="rId3"/>
    <sheet name="INGRESOS" sheetId="16" r:id="rId4"/>
    <sheet name="CONCENTRACION DE EGRESOS 2023" sheetId="82" r:id="rId5"/>
    <sheet name="CONCENTRACION DE EGRESOS" sheetId="23" state="hidden" r:id="rId6"/>
    <sheet name="PAG, FOND, PROP" sheetId="59" r:id="rId7"/>
    <sheet name="FONDOS PROPIOS" sheetId="56" r:id="rId8"/>
    <sheet name="120 libre Administ." sheetId="57" r:id="rId9"/>
    <sheet name="120- Libre disp, social" sheetId="38" r:id="rId10"/>
    <sheet name="INVER.FODES 75% AG 4" sheetId="37" state="hidden" r:id="rId11"/>
    <sheet name="AG 4 0402  2% FODES" sheetId="85" state="hidden" r:id="rId12"/>
    <sheet name="Pres.Servicio Deuda Publica" sheetId="28" state="hidden" r:id="rId13"/>
    <sheet name="FOND GENE.109" sheetId="83" state="hidden" r:id="rId14"/>
    <sheet name="216 FONDO DE APOYO MUNICIPAL" sheetId="90" r:id="rId15"/>
    <sheet name="Saldos de ctas. Bancarias" sheetId="29" r:id="rId16"/>
    <sheet name="Media Simple 5 años ingresos" sheetId="27" r:id="rId17"/>
    <sheet name=" Metodo de regresion Lineal" sheetId="32" r:id="rId18"/>
    <sheet name="Proy. de recur.Humanos" sheetId="34" r:id="rId19"/>
    <sheet name="Concen. de  Recursos Huma" sheetId="33" state="hidden" r:id="rId20"/>
    <sheet name="Proy. FODES 120 " sheetId="64" r:id="rId21"/>
    <sheet name="Hoja1" sheetId="89" state="hidden" r:id="rId22"/>
    <sheet name="DETALLES PROY. 120" sheetId="80" r:id="rId23"/>
    <sheet name="PROY. 216" sheetId="93" r:id="rId24"/>
    <sheet name="DETALLE PROY. 216" sheetId="94" r:id="rId25"/>
    <sheet name="PROY. FONDOS PROPIOS" sheetId="92" r:id="rId26"/>
    <sheet name="DETALLE PROY. FONDOS PROPIOS" sheetId="95" r:id="rId27"/>
    <sheet name="Hoja3" sheetId="88" state="hidden" r:id="rId28"/>
  </sheets>
  <definedNames>
    <definedName name="_xlnm.Print_Area" localSheetId="5">'CONCENTRACION DE EGRESOS'!$A$1:$W$99</definedName>
    <definedName name="_xlnm.Print_Area" localSheetId="1">'DECRETO DEL PRESUPUESTO'!$A$1:$P$172</definedName>
    <definedName name="_xlnm.Print_Area" localSheetId="22">'DETALLES PROY. 120'!$A$1:$I$271</definedName>
    <definedName name="_xlnm.Print_Area" localSheetId="3">INGRESOS!$A$1:$M$52</definedName>
    <definedName name="_xlnm.Print_Area" localSheetId="18">'Proy. de recur.Humanos'!$A$2:$Q$108</definedName>
    <definedName name="_xlnm.Print_Area" localSheetId="20">'Proy. FODES 120 '!$B$3:$X$20</definedName>
    <definedName name="_xlnm.Print_Area" localSheetId="15">'Saldos de ctas. Bancarias'!$A$1:$W$90</definedName>
  </definedNames>
  <calcPr calcId="162913"/>
</workbook>
</file>

<file path=xl/calcChain.xml><?xml version="1.0" encoding="utf-8"?>
<calcChain xmlns="http://schemas.openxmlformats.org/spreadsheetml/2006/main">
  <c r="J10" i="59" l="1"/>
  <c r="D30" i="34" l="1"/>
  <c r="D33" i="34"/>
  <c r="D32" i="34"/>
  <c r="G43" i="34"/>
  <c r="H43" i="34"/>
  <c r="H47" i="56"/>
  <c r="H31" i="56"/>
  <c r="I49" i="16"/>
  <c r="H63" i="27"/>
  <c r="I63" i="27" s="1"/>
  <c r="I27" i="34"/>
  <c r="J27" i="34"/>
  <c r="M27" i="34" l="1"/>
  <c r="H27" i="34"/>
  <c r="O27" i="34"/>
  <c r="I12" i="38"/>
  <c r="H12" i="38" s="1"/>
  <c r="F93" i="80"/>
  <c r="F92" i="80"/>
  <c r="H50" i="38"/>
  <c r="G13" i="82"/>
  <c r="K27" i="34" l="1"/>
  <c r="P27" i="34" s="1"/>
  <c r="Q27" i="34" s="1"/>
  <c r="I40" i="38"/>
  <c r="I23" i="38"/>
  <c r="H26" i="90"/>
  <c r="H25" i="90"/>
  <c r="H13" i="90"/>
  <c r="H141" i="94" l="1"/>
  <c r="H143" i="94" s="1"/>
  <c r="J15" i="93" s="1"/>
  <c r="K15" i="93" s="1"/>
  <c r="I18" i="38"/>
  <c r="I11" i="38"/>
  <c r="H11" i="38"/>
  <c r="J11" i="38"/>
  <c r="H15" i="95" l="1"/>
  <c r="H17" i="95" s="1"/>
  <c r="J12" i="92" l="1"/>
  <c r="H118" i="94"/>
  <c r="H119" i="94" s="1"/>
  <c r="J14" i="93" s="1"/>
  <c r="K14" i="93" s="1"/>
  <c r="H92" i="94"/>
  <c r="H91" i="94" s="1"/>
  <c r="H93" i="94" s="1"/>
  <c r="J13" i="93" s="1"/>
  <c r="K13" i="93" s="1"/>
  <c r="H69" i="94"/>
  <c r="H44" i="94"/>
  <c r="J11" i="93" s="1"/>
  <c r="K11" i="93" s="1"/>
  <c r="H13" i="94"/>
  <c r="H18" i="94" s="1"/>
  <c r="J10" i="93" s="1"/>
  <c r="J12" i="93"/>
  <c r="K12" i="93" s="1"/>
  <c r="H262" i="80"/>
  <c r="J17" i="64" s="1"/>
  <c r="K17" i="64" s="1"/>
  <c r="H233" i="80"/>
  <c r="J16" i="64" s="1"/>
  <c r="K16" i="64" s="1"/>
  <c r="H195" i="80"/>
  <c r="H206" i="80" s="1"/>
  <c r="I174" i="80"/>
  <c r="H163" i="80"/>
  <c r="H174" i="80" s="1"/>
  <c r="J14" i="64" s="1"/>
  <c r="K14" i="64" s="1"/>
  <c r="H134" i="80"/>
  <c r="H142" i="80" s="1"/>
  <c r="J13" i="64" s="1"/>
  <c r="K13" i="64" s="1"/>
  <c r="H112" i="80"/>
  <c r="H113" i="80" s="1"/>
  <c r="J12" i="64" s="1"/>
  <c r="K12" i="64" s="1"/>
  <c r="G93" i="80"/>
  <c r="H93" i="80" s="1"/>
  <c r="G92" i="80"/>
  <c r="H92" i="80" s="1"/>
  <c r="H72" i="80"/>
  <c r="H76" i="80" s="1"/>
  <c r="F53" i="80"/>
  <c r="G53" i="80" s="1"/>
  <c r="H18" i="80" s="1"/>
  <c r="F52" i="80"/>
  <c r="G52" i="80" s="1"/>
  <c r="F51" i="80"/>
  <c r="F47" i="80"/>
  <c r="H15" i="80" s="1"/>
  <c r="G46" i="80"/>
  <c r="G45" i="80"/>
  <c r="G44" i="80"/>
  <c r="G43" i="80"/>
  <c r="G42" i="80"/>
  <c r="F35" i="80"/>
  <c r="F34" i="80"/>
  <c r="F33" i="80"/>
  <c r="F32" i="80"/>
  <c r="F31" i="80"/>
  <c r="H21" i="80"/>
  <c r="H20" i="80"/>
  <c r="K18" i="64"/>
  <c r="C29" i="33"/>
  <c r="G29" i="33" s="1"/>
  <c r="F28" i="33"/>
  <c r="F27" i="33"/>
  <c r="G26" i="33"/>
  <c r="F25" i="33"/>
  <c r="F24" i="33"/>
  <c r="G23" i="33"/>
  <c r="G21" i="33"/>
  <c r="F20" i="33"/>
  <c r="C14" i="33"/>
  <c r="G14" i="33" s="1"/>
  <c r="F13" i="33"/>
  <c r="F12" i="33"/>
  <c r="J19" i="23" s="1"/>
  <c r="G11" i="33"/>
  <c r="G10" i="33"/>
  <c r="G9" i="33"/>
  <c r="F8" i="33"/>
  <c r="J11" i="23" s="1"/>
  <c r="F7" i="33"/>
  <c r="Q92" i="34"/>
  <c r="Q89" i="34"/>
  <c r="D89" i="34"/>
  <c r="E25" i="33" s="1"/>
  <c r="E16" i="23" s="1"/>
  <c r="H42" i="56" s="1"/>
  <c r="C89" i="34"/>
  <c r="E8" i="33" s="1"/>
  <c r="I11" i="23" s="1"/>
  <c r="N88" i="34"/>
  <c r="E28" i="33" s="1"/>
  <c r="L88" i="34"/>
  <c r="E13" i="33" s="1"/>
  <c r="I20" i="23" s="1"/>
  <c r="C88" i="34"/>
  <c r="D8" i="33" s="1"/>
  <c r="H11" i="23" s="1"/>
  <c r="L87" i="34"/>
  <c r="Q83" i="34"/>
  <c r="N82" i="34"/>
  <c r="E27" i="33" s="1"/>
  <c r="L82" i="34"/>
  <c r="E12" i="33" s="1"/>
  <c r="I19" i="23" s="1"/>
  <c r="E82" i="34"/>
  <c r="L81" i="34"/>
  <c r="D12" i="33" s="1"/>
  <c r="H19" i="23" s="1"/>
  <c r="D81" i="34"/>
  <c r="E20" i="33" s="1"/>
  <c r="E10" i="23" s="1"/>
  <c r="C81" i="34"/>
  <c r="E7" i="33" s="1"/>
  <c r="C80" i="34"/>
  <c r="D7" i="33" s="1"/>
  <c r="N62" i="34"/>
  <c r="L62" i="34"/>
  <c r="J62" i="34"/>
  <c r="I62" i="34"/>
  <c r="G62" i="34"/>
  <c r="O61" i="34"/>
  <c r="O62" i="34" s="1"/>
  <c r="H61" i="34"/>
  <c r="C69" i="34" s="1"/>
  <c r="N58" i="34"/>
  <c r="N63" i="34" s="1"/>
  <c r="L58" i="34"/>
  <c r="L63" i="34" s="1"/>
  <c r="G58" i="34"/>
  <c r="G63" i="34" s="1"/>
  <c r="O57" i="34"/>
  <c r="M57" i="34"/>
  <c r="J57" i="34"/>
  <c r="I57" i="34"/>
  <c r="H57" i="34"/>
  <c r="O56" i="34"/>
  <c r="M56" i="34"/>
  <c r="J56" i="34"/>
  <c r="I56" i="34"/>
  <c r="H56" i="34"/>
  <c r="O55" i="34"/>
  <c r="M55" i="34"/>
  <c r="J55" i="34"/>
  <c r="I55" i="34"/>
  <c r="H55" i="34"/>
  <c r="M54" i="34"/>
  <c r="J54" i="34"/>
  <c r="I54" i="34"/>
  <c r="H54" i="34"/>
  <c r="J53" i="34"/>
  <c r="I53" i="34"/>
  <c r="H53" i="34"/>
  <c r="M53" i="34" s="1"/>
  <c r="M52" i="34"/>
  <c r="J52" i="34"/>
  <c r="I52" i="34"/>
  <c r="H52" i="34"/>
  <c r="O51" i="34"/>
  <c r="M51" i="34"/>
  <c r="J51" i="34"/>
  <c r="H51" i="34"/>
  <c r="N50" i="34"/>
  <c r="N59" i="34" s="1"/>
  <c r="L50" i="34"/>
  <c r="L59" i="34" s="1"/>
  <c r="G50" i="34"/>
  <c r="K49" i="34"/>
  <c r="J49" i="34"/>
  <c r="I49" i="34"/>
  <c r="H49" i="34"/>
  <c r="O49" i="34" s="1"/>
  <c r="K48" i="34"/>
  <c r="J48" i="34"/>
  <c r="I48" i="34"/>
  <c r="I50" i="34" s="1"/>
  <c r="H48" i="34"/>
  <c r="H50" i="34" s="1"/>
  <c r="N46" i="34"/>
  <c r="M46" i="34"/>
  <c r="L46" i="34"/>
  <c r="G46" i="34"/>
  <c r="O45" i="34"/>
  <c r="O46" i="34" s="1"/>
  <c r="M45" i="34"/>
  <c r="J45" i="34"/>
  <c r="J46" i="34" s="1"/>
  <c r="C108" i="34" s="1"/>
  <c r="I45" i="34"/>
  <c r="I46" i="34" s="1"/>
  <c r="D108" i="34" s="1"/>
  <c r="H45" i="34"/>
  <c r="H46" i="34" s="1"/>
  <c r="C105" i="34" s="1"/>
  <c r="N42" i="34"/>
  <c r="N64" i="34" s="1"/>
  <c r="L42" i="34"/>
  <c r="G42" i="34"/>
  <c r="G64" i="34" s="1"/>
  <c r="O41" i="34"/>
  <c r="M41" i="34"/>
  <c r="K41" i="34"/>
  <c r="J41" i="34"/>
  <c r="I41" i="34"/>
  <c r="H41" i="34"/>
  <c r="O40" i="34"/>
  <c r="M40" i="34"/>
  <c r="J40" i="34"/>
  <c r="I40" i="34"/>
  <c r="H40" i="34"/>
  <c r="K40" i="34" s="1"/>
  <c r="O39" i="34"/>
  <c r="M39" i="34"/>
  <c r="J39" i="34"/>
  <c r="I39" i="34"/>
  <c r="H39" i="34"/>
  <c r="K39" i="34" s="1"/>
  <c r="O38" i="34"/>
  <c r="M38" i="34"/>
  <c r="J38" i="34"/>
  <c r="J42" i="34" s="1"/>
  <c r="I38" i="34"/>
  <c r="H38" i="34"/>
  <c r="O37" i="34"/>
  <c r="M37" i="34"/>
  <c r="J37" i="34"/>
  <c r="I37" i="34"/>
  <c r="H37" i="34"/>
  <c r="H42" i="34" s="1"/>
  <c r="G33" i="34"/>
  <c r="J33" i="34" s="1"/>
  <c r="O32" i="34"/>
  <c r="M32" i="34"/>
  <c r="J32" i="34"/>
  <c r="I32" i="34"/>
  <c r="H32" i="34"/>
  <c r="O31" i="34"/>
  <c r="M31" i="34"/>
  <c r="J31" i="34"/>
  <c r="I31" i="34"/>
  <c r="H31" i="34"/>
  <c r="O30" i="34"/>
  <c r="M30" i="34"/>
  <c r="J30" i="34"/>
  <c r="H30" i="34"/>
  <c r="G28" i="34"/>
  <c r="J28" i="34" s="1"/>
  <c r="O25" i="34"/>
  <c r="M25" i="34"/>
  <c r="J25" i="34"/>
  <c r="H25" i="34"/>
  <c r="O24" i="34"/>
  <c r="M24" i="34"/>
  <c r="J24" i="34"/>
  <c r="H24" i="34"/>
  <c r="K24" i="34" s="1"/>
  <c r="O23" i="34"/>
  <c r="M23" i="34"/>
  <c r="J23" i="34"/>
  <c r="H23" i="34"/>
  <c r="K23" i="34" s="1"/>
  <c r="G22" i="34"/>
  <c r="J22" i="34" s="1"/>
  <c r="O21" i="34"/>
  <c r="M21" i="34"/>
  <c r="J21" i="34"/>
  <c r="H21" i="34"/>
  <c r="K21" i="34" s="1"/>
  <c r="O20" i="34"/>
  <c r="M20" i="34"/>
  <c r="J20" i="34"/>
  <c r="H20" i="34"/>
  <c r="O19" i="34"/>
  <c r="M19" i="34"/>
  <c r="J19" i="34"/>
  <c r="H19" i="34"/>
  <c r="O18" i="34"/>
  <c r="M18" i="34"/>
  <c r="J18" i="34"/>
  <c r="H18" i="34"/>
  <c r="K18" i="34" s="1"/>
  <c r="O17" i="34"/>
  <c r="M17" i="34"/>
  <c r="K17" i="34"/>
  <c r="J17" i="34"/>
  <c r="H17" i="34"/>
  <c r="O16" i="34"/>
  <c r="M16" i="34"/>
  <c r="J16" i="34"/>
  <c r="H16" i="34"/>
  <c r="O15" i="34"/>
  <c r="M15" i="34"/>
  <c r="J15" i="34"/>
  <c r="H15" i="34"/>
  <c r="K15" i="34" s="1"/>
  <c r="J14" i="34"/>
  <c r="P14" i="34" s="1"/>
  <c r="H14" i="34"/>
  <c r="O13" i="34"/>
  <c r="M13" i="34"/>
  <c r="K13" i="34"/>
  <c r="J13" i="34"/>
  <c r="P13" i="34" s="1"/>
  <c r="Q13" i="34" s="1"/>
  <c r="H13" i="34"/>
  <c r="O12" i="34"/>
  <c r="M12" i="34"/>
  <c r="J12" i="34"/>
  <c r="H12" i="34"/>
  <c r="N11" i="34"/>
  <c r="N34" i="34" s="1"/>
  <c r="N43" i="34" s="1"/>
  <c r="L11" i="34"/>
  <c r="O10" i="34"/>
  <c r="M10" i="34"/>
  <c r="J10" i="34"/>
  <c r="H10" i="34"/>
  <c r="K10" i="34" s="1"/>
  <c r="O9" i="34"/>
  <c r="M9" i="34"/>
  <c r="J9" i="34"/>
  <c r="H9" i="34"/>
  <c r="G8" i="34"/>
  <c r="G34" i="34" s="1"/>
  <c r="G63" i="27"/>
  <c r="G62" i="27" s="1"/>
  <c r="G61" i="27" s="1"/>
  <c r="F63" i="27"/>
  <c r="C63" i="27"/>
  <c r="C62" i="27" s="1"/>
  <c r="C61" i="27" s="1"/>
  <c r="E62" i="27"/>
  <c r="E61" i="27" s="1"/>
  <c r="D62" i="27"/>
  <c r="D61" i="27"/>
  <c r="J60" i="27"/>
  <c r="H60" i="27"/>
  <c r="I60" i="27" s="1"/>
  <c r="F59" i="27"/>
  <c r="J59" i="27" s="1"/>
  <c r="E59" i="27"/>
  <c r="J58" i="27"/>
  <c r="H58" i="27"/>
  <c r="I58" i="27" s="1"/>
  <c r="J57" i="27"/>
  <c r="H57" i="27"/>
  <c r="I57" i="27" s="1"/>
  <c r="J56" i="27"/>
  <c r="H56" i="27"/>
  <c r="I56" i="27" s="1"/>
  <c r="J55" i="27"/>
  <c r="H55" i="27"/>
  <c r="I55" i="27" s="1"/>
  <c r="J54" i="27"/>
  <c r="H54" i="27"/>
  <c r="I54" i="27" s="1"/>
  <c r="J53" i="27"/>
  <c r="H53" i="27"/>
  <c r="I53" i="27" s="1"/>
  <c r="J52" i="27"/>
  <c r="H52" i="27"/>
  <c r="I52" i="27" s="1"/>
  <c r="J51" i="27"/>
  <c r="H51" i="27"/>
  <c r="I51" i="27" s="1"/>
  <c r="J50" i="27"/>
  <c r="H50" i="27"/>
  <c r="I50" i="27" s="1"/>
  <c r="G49" i="27"/>
  <c r="F49" i="27"/>
  <c r="E49" i="27"/>
  <c r="D49" i="27"/>
  <c r="H49" i="27" s="1"/>
  <c r="I49" i="27" s="1"/>
  <c r="C49" i="27"/>
  <c r="J48" i="27"/>
  <c r="H48" i="27"/>
  <c r="I48" i="27" s="1"/>
  <c r="J47" i="27"/>
  <c r="H47" i="27"/>
  <c r="I47" i="27" s="1"/>
  <c r="J46" i="27"/>
  <c r="H46" i="27"/>
  <c r="I46" i="27" s="1"/>
  <c r="J45" i="27"/>
  <c r="H45" i="27"/>
  <c r="I45" i="27" s="1"/>
  <c r="J44" i="27"/>
  <c r="J42" i="27" s="1"/>
  <c r="H44" i="27"/>
  <c r="I44" i="27" s="1"/>
  <c r="J43" i="27"/>
  <c r="H43" i="27"/>
  <c r="H42" i="27" s="1"/>
  <c r="H41" i="27" s="1"/>
  <c r="G42" i="27"/>
  <c r="G41" i="27" s="1"/>
  <c r="F42" i="27"/>
  <c r="E42" i="27"/>
  <c r="D42" i="27"/>
  <c r="D41" i="27" s="1"/>
  <c r="C42" i="27"/>
  <c r="C41" i="27" s="1"/>
  <c r="F41" i="27"/>
  <c r="J40" i="27"/>
  <c r="H40" i="27"/>
  <c r="I40" i="27" s="1"/>
  <c r="J39" i="27"/>
  <c r="H39" i="27"/>
  <c r="I39" i="27" s="1"/>
  <c r="J38" i="27"/>
  <c r="H38" i="27"/>
  <c r="I38" i="27" s="1"/>
  <c r="G37" i="27"/>
  <c r="F37" i="27"/>
  <c r="F36" i="27" s="1"/>
  <c r="E37" i="27"/>
  <c r="D37" i="27"/>
  <c r="D36" i="27" s="1"/>
  <c r="C37" i="27"/>
  <c r="G36" i="27"/>
  <c r="E36" i="27"/>
  <c r="C36" i="27"/>
  <c r="J35" i="27"/>
  <c r="H35" i="27"/>
  <c r="I35" i="27" s="1"/>
  <c r="J34" i="27"/>
  <c r="H34" i="27"/>
  <c r="I34" i="27" s="1"/>
  <c r="J33" i="27"/>
  <c r="H33" i="27"/>
  <c r="I33" i="27" s="1"/>
  <c r="G32" i="27"/>
  <c r="F32" i="27"/>
  <c r="E32" i="27"/>
  <c r="D32" i="27"/>
  <c r="C32" i="27"/>
  <c r="J31" i="27"/>
  <c r="I31" i="27"/>
  <c r="H31" i="27"/>
  <c r="J30" i="27"/>
  <c r="I30" i="27"/>
  <c r="H30" i="27"/>
  <c r="J29" i="27"/>
  <c r="I29" i="27"/>
  <c r="H29" i="27"/>
  <c r="J28" i="27"/>
  <c r="I28" i="27"/>
  <c r="H28" i="27"/>
  <c r="J27" i="27"/>
  <c r="I27" i="27"/>
  <c r="H27" i="27"/>
  <c r="J26" i="27"/>
  <c r="I26" i="27"/>
  <c r="H26" i="27"/>
  <c r="J25" i="27"/>
  <c r="I25" i="27"/>
  <c r="H25" i="27"/>
  <c r="J24" i="27"/>
  <c r="I24" i="27"/>
  <c r="H24" i="27"/>
  <c r="J23" i="27"/>
  <c r="I23" i="27"/>
  <c r="H23" i="27"/>
  <c r="J22" i="27"/>
  <c r="I22" i="27"/>
  <c r="H22" i="27"/>
  <c r="J21" i="27"/>
  <c r="I21" i="27"/>
  <c r="H21" i="27"/>
  <c r="J20" i="27"/>
  <c r="I20" i="27"/>
  <c r="H20" i="27"/>
  <c r="J19" i="27"/>
  <c r="I19" i="27"/>
  <c r="H19" i="27"/>
  <c r="G18" i="27"/>
  <c r="G17" i="27" s="1"/>
  <c r="F18" i="27"/>
  <c r="E18" i="27"/>
  <c r="D18" i="27"/>
  <c r="C18" i="27"/>
  <c r="I18" i="27" s="1"/>
  <c r="F17" i="27"/>
  <c r="E17" i="27"/>
  <c r="D17" i="27"/>
  <c r="J16" i="27"/>
  <c r="H16" i="27"/>
  <c r="I16" i="27" s="1"/>
  <c r="J15" i="27"/>
  <c r="H15" i="27"/>
  <c r="I15" i="27" s="1"/>
  <c r="J14" i="27"/>
  <c r="H14" i="27"/>
  <c r="J13" i="27"/>
  <c r="H13" i="27"/>
  <c r="I13" i="27" s="1"/>
  <c r="J12" i="27"/>
  <c r="H12" i="27"/>
  <c r="I12" i="27" s="1"/>
  <c r="J11" i="27"/>
  <c r="H11" i="27"/>
  <c r="I11" i="27" s="1"/>
  <c r="J10" i="27"/>
  <c r="H10" i="27"/>
  <c r="I10" i="27" s="1"/>
  <c r="J9" i="27"/>
  <c r="I9" i="27"/>
  <c r="H9" i="27"/>
  <c r="J8" i="27"/>
  <c r="H8" i="27"/>
  <c r="I8" i="27" s="1"/>
  <c r="G7" i="27"/>
  <c r="G64" i="27" s="1"/>
  <c r="C11" i="32" s="1"/>
  <c r="F7" i="27"/>
  <c r="E7" i="27"/>
  <c r="D7" i="27"/>
  <c r="C7" i="27"/>
  <c r="I7" i="27" s="1"/>
  <c r="F6" i="27"/>
  <c r="E6" i="27"/>
  <c r="D6" i="27"/>
  <c r="C84" i="29"/>
  <c r="C79" i="29"/>
  <c r="C64" i="29"/>
  <c r="C65" i="29" s="1"/>
  <c r="G59" i="29"/>
  <c r="C59" i="29"/>
  <c r="J52" i="29"/>
  <c r="D52" i="29"/>
  <c r="C52" i="29"/>
  <c r="M51" i="29"/>
  <c r="M50" i="29"/>
  <c r="M49" i="29"/>
  <c r="L48" i="29"/>
  <c r="G67" i="29" s="1"/>
  <c r="M47" i="29"/>
  <c r="M46" i="29"/>
  <c r="M45" i="29"/>
  <c r="M44" i="29"/>
  <c r="M43" i="29"/>
  <c r="M42" i="29"/>
  <c r="M41" i="29"/>
  <c r="M40" i="29"/>
  <c r="M39" i="29"/>
  <c r="M38" i="29"/>
  <c r="M37" i="29"/>
  <c r="M36" i="29"/>
  <c r="M35" i="29"/>
  <c r="M34" i="29"/>
  <c r="M33" i="29"/>
  <c r="M32" i="29"/>
  <c r="M31" i="29"/>
  <c r="M30" i="29"/>
  <c r="M29" i="29"/>
  <c r="M28" i="29"/>
  <c r="M27" i="29"/>
  <c r="M26" i="29"/>
  <c r="M25" i="29"/>
  <c r="M24" i="29"/>
  <c r="M23" i="29"/>
  <c r="M22" i="29"/>
  <c r="M21" i="29"/>
  <c r="M20" i="29"/>
  <c r="M19" i="29"/>
  <c r="Q18" i="29"/>
  <c r="R18" i="29" s="1"/>
  <c r="M18" i="29"/>
  <c r="Q17" i="29"/>
  <c r="R17" i="29" s="1"/>
  <c r="M17" i="29"/>
  <c r="R16" i="29"/>
  <c r="M16" i="29"/>
  <c r="M15" i="29"/>
  <c r="M14" i="29"/>
  <c r="K13" i="29"/>
  <c r="K52" i="29" s="1"/>
  <c r="G69" i="29" s="1"/>
  <c r="G71" i="29" s="1"/>
  <c r="I12" i="29"/>
  <c r="M12" i="29" s="1"/>
  <c r="M11" i="29"/>
  <c r="H10" i="29"/>
  <c r="H52" i="29" s="1"/>
  <c r="G9" i="29"/>
  <c r="G52" i="29" s="1"/>
  <c r="F8" i="29"/>
  <c r="G61" i="29" s="1"/>
  <c r="M7" i="29"/>
  <c r="E6" i="29"/>
  <c r="C58" i="29" s="1"/>
  <c r="M5" i="29"/>
  <c r="F4" i="29"/>
  <c r="M4" i="29" s="1"/>
  <c r="F3" i="29"/>
  <c r="F52" i="29" s="1"/>
  <c r="H28" i="90"/>
  <c r="H30" i="83"/>
  <c r="H14" i="28"/>
  <c r="H27" i="85"/>
  <c r="E24" i="85"/>
  <c r="D24" i="85"/>
  <c r="A24" i="85"/>
  <c r="H14" i="37"/>
  <c r="H13" i="37"/>
  <c r="H12" i="37"/>
  <c r="H11" i="37"/>
  <c r="H10" i="37"/>
  <c r="H35" i="37" s="1"/>
  <c r="I57" i="38"/>
  <c r="H56" i="38"/>
  <c r="H55" i="38"/>
  <c r="H54" i="38"/>
  <c r="H53" i="38"/>
  <c r="H52" i="38"/>
  <c r="H51" i="38"/>
  <c r="H47" i="38"/>
  <c r="N60" i="23" s="1"/>
  <c r="W60" i="23" s="1"/>
  <c r="H46" i="38"/>
  <c r="H45" i="38"/>
  <c r="H44" i="38"/>
  <c r="H43" i="38"/>
  <c r="I52" i="82" s="1"/>
  <c r="H42" i="38"/>
  <c r="H41" i="38"/>
  <c r="H40" i="38"/>
  <c r="N48" i="23" s="1"/>
  <c r="H39" i="38"/>
  <c r="N47" i="23" s="1"/>
  <c r="H38" i="38"/>
  <c r="H37" i="38"/>
  <c r="H35" i="38"/>
  <c r="H34" i="38"/>
  <c r="N40" i="23" s="1"/>
  <c r="H33" i="38"/>
  <c r="H32" i="38"/>
  <c r="H31" i="38"/>
  <c r="H30" i="38"/>
  <c r="H29" i="38"/>
  <c r="H28" i="38"/>
  <c r="H27" i="38"/>
  <c r="H26" i="38"/>
  <c r="I31" i="82" s="1"/>
  <c r="H25" i="38"/>
  <c r="H24" i="38"/>
  <c r="H23" i="38"/>
  <c r="I27" i="82" s="1"/>
  <c r="H22" i="38"/>
  <c r="H21" i="38"/>
  <c r="H20" i="38"/>
  <c r="H19" i="38"/>
  <c r="H16" i="38"/>
  <c r="I19" i="82" s="1"/>
  <c r="H15" i="38"/>
  <c r="H14" i="38"/>
  <c r="H13" i="38"/>
  <c r="H56" i="57"/>
  <c r="I62" i="56"/>
  <c r="H49" i="56"/>
  <c r="H35" i="56"/>
  <c r="C76" i="23"/>
  <c r="A24" i="56"/>
  <c r="A25" i="56" s="1"/>
  <c r="A26" i="56" s="1"/>
  <c r="A27" i="56" s="1"/>
  <c r="A28" i="56" s="1"/>
  <c r="A29" i="56" s="1"/>
  <c r="A30" i="56" s="1"/>
  <c r="A31" i="56" s="1"/>
  <c r="A32" i="56" s="1"/>
  <c r="H22" i="56"/>
  <c r="I20" i="56"/>
  <c r="H12" i="56"/>
  <c r="C12" i="82" s="1"/>
  <c r="K74" i="59"/>
  <c r="L46" i="59"/>
  <c r="J46" i="59"/>
  <c r="K45" i="59"/>
  <c r="I45" i="59"/>
  <c r="H45" i="59"/>
  <c r="G45" i="59"/>
  <c r="K44" i="59"/>
  <c r="I44" i="59"/>
  <c r="H44" i="59"/>
  <c r="G44" i="59"/>
  <c r="K43" i="59"/>
  <c r="I43" i="59"/>
  <c r="H43" i="59"/>
  <c r="G43" i="59"/>
  <c r="K42" i="59"/>
  <c r="I42" i="59"/>
  <c r="H42" i="59"/>
  <c r="G42" i="59"/>
  <c r="K41" i="59"/>
  <c r="I41" i="59"/>
  <c r="H41" i="59"/>
  <c r="G41" i="59"/>
  <c r="K40" i="59"/>
  <c r="I40" i="59"/>
  <c r="H40" i="59"/>
  <c r="G40" i="59"/>
  <c r="K39" i="59"/>
  <c r="I39" i="59"/>
  <c r="H39" i="59"/>
  <c r="G39" i="59"/>
  <c r="K38" i="59"/>
  <c r="I38" i="59"/>
  <c r="H38" i="59"/>
  <c r="G38" i="59"/>
  <c r="K37" i="59"/>
  <c r="I37" i="59"/>
  <c r="H37" i="59"/>
  <c r="G37" i="59"/>
  <c r="K36" i="59"/>
  <c r="I36" i="59"/>
  <c r="H36" i="59"/>
  <c r="G36" i="59"/>
  <c r="B36" i="59"/>
  <c r="B37" i="59" s="1"/>
  <c r="B38" i="59" s="1"/>
  <c r="B39" i="59" s="1"/>
  <c r="B40" i="59" s="1"/>
  <c r="B41" i="59" s="1"/>
  <c r="B42" i="59" s="1"/>
  <c r="B43" i="59" s="1"/>
  <c r="B44" i="59" s="1"/>
  <c r="B45" i="59" s="1"/>
  <c r="K35" i="59"/>
  <c r="I35" i="59"/>
  <c r="H35" i="59"/>
  <c r="G35" i="59"/>
  <c r="B35" i="59"/>
  <c r="K34" i="59"/>
  <c r="I34" i="59"/>
  <c r="I46" i="59" s="1"/>
  <c r="H34" i="59"/>
  <c r="G34" i="59"/>
  <c r="H21" i="59"/>
  <c r="E21" i="59"/>
  <c r="M20" i="59"/>
  <c r="L20" i="59"/>
  <c r="K20" i="59"/>
  <c r="G20" i="59"/>
  <c r="J20" i="59" s="1"/>
  <c r="I19" i="59"/>
  <c r="F19" i="59"/>
  <c r="G19" i="59" s="1"/>
  <c r="J19" i="59" s="1"/>
  <c r="U18" i="59"/>
  <c r="I18" i="59"/>
  <c r="F18" i="59"/>
  <c r="G18" i="59" s="1"/>
  <c r="I17" i="59"/>
  <c r="F17" i="59"/>
  <c r="G17" i="59" s="1"/>
  <c r="I16" i="59"/>
  <c r="F16" i="59"/>
  <c r="G16" i="59" s="1"/>
  <c r="I15" i="59"/>
  <c r="F15" i="59"/>
  <c r="G15" i="59" s="1"/>
  <c r="I14" i="59"/>
  <c r="F14" i="59"/>
  <c r="G14" i="59" s="1"/>
  <c r="I13" i="59"/>
  <c r="F13" i="59"/>
  <c r="G13" i="59" s="1"/>
  <c r="J13" i="59" s="1"/>
  <c r="I12" i="59"/>
  <c r="F12" i="59"/>
  <c r="G12" i="59" s="1"/>
  <c r="I11" i="59"/>
  <c r="F11" i="59"/>
  <c r="A11" i="59"/>
  <c r="A12" i="59" s="1"/>
  <c r="A13" i="59" s="1"/>
  <c r="A14" i="59" s="1"/>
  <c r="A15" i="59" s="1"/>
  <c r="A16" i="59" s="1"/>
  <c r="A17" i="59" s="1"/>
  <c r="A18" i="59" s="1"/>
  <c r="A19" i="59" s="1"/>
  <c r="A20" i="59" s="1"/>
  <c r="I10" i="59"/>
  <c r="F10" i="59"/>
  <c r="G10" i="59" s="1"/>
  <c r="V97" i="23"/>
  <c r="V99" i="23" s="1"/>
  <c r="T97" i="23"/>
  <c r="U96" i="23"/>
  <c r="T96" i="23"/>
  <c r="S96" i="23"/>
  <c r="Q96" i="23"/>
  <c r="P96" i="23"/>
  <c r="R98" i="23" s="1"/>
  <c r="O96" i="23"/>
  <c r="V98" i="23" s="1"/>
  <c r="L96" i="23"/>
  <c r="N95" i="23"/>
  <c r="W95" i="23" s="1"/>
  <c r="C95" i="23"/>
  <c r="V94" i="23"/>
  <c r="W94" i="23" s="1"/>
  <c r="W93" i="23"/>
  <c r="W92" i="23"/>
  <c r="R91" i="23"/>
  <c r="N91" i="23"/>
  <c r="M91" i="23"/>
  <c r="K91" i="23"/>
  <c r="W91" i="23" s="1"/>
  <c r="R90" i="23"/>
  <c r="W90" i="23" s="1"/>
  <c r="K89" i="23"/>
  <c r="W89" i="23" s="1"/>
  <c r="M88" i="23"/>
  <c r="M96" i="23" s="1"/>
  <c r="K88" i="23"/>
  <c r="W88" i="23" s="1"/>
  <c r="W87" i="23"/>
  <c r="R86" i="23"/>
  <c r="W86" i="23" s="1"/>
  <c r="R85" i="23"/>
  <c r="N85" i="23"/>
  <c r="K85" i="23"/>
  <c r="W85" i="23" s="1"/>
  <c r="G84" i="23"/>
  <c r="W84" i="23" s="1"/>
  <c r="R83" i="23"/>
  <c r="K83" i="23"/>
  <c r="W83" i="23" s="1"/>
  <c r="G82" i="23"/>
  <c r="W82" i="23" s="1"/>
  <c r="W81" i="23"/>
  <c r="N80" i="23"/>
  <c r="H80" i="23"/>
  <c r="G80" i="23"/>
  <c r="N79" i="23"/>
  <c r="G79" i="23"/>
  <c r="W79" i="23" s="1"/>
  <c r="G78" i="23"/>
  <c r="W78" i="23" s="1"/>
  <c r="N77" i="23"/>
  <c r="W77" i="23" s="1"/>
  <c r="R76" i="23"/>
  <c r="N76" i="23"/>
  <c r="G76" i="23"/>
  <c r="W75" i="23"/>
  <c r="G74" i="23"/>
  <c r="W74" i="23" s="1"/>
  <c r="C74" i="23"/>
  <c r="H73" i="23"/>
  <c r="G73" i="23"/>
  <c r="W73" i="23" s="1"/>
  <c r="H72" i="23"/>
  <c r="W72" i="23" s="1"/>
  <c r="G72" i="23"/>
  <c r="G71" i="23"/>
  <c r="W71" i="23" s="1"/>
  <c r="W70" i="23"/>
  <c r="G69" i="23"/>
  <c r="W69" i="23" s="1"/>
  <c r="V68" i="23"/>
  <c r="W68" i="23" s="1"/>
  <c r="V67" i="23"/>
  <c r="V96" i="23" s="1"/>
  <c r="W66" i="23"/>
  <c r="W65" i="23"/>
  <c r="W64" i="23"/>
  <c r="W63" i="23"/>
  <c r="R62" i="23"/>
  <c r="G62" i="23"/>
  <c r="W62" i="23" s="1"/>
  <c r="G61" i="23"/>
  <c r="W61" i="23" s="1"/>
  <c r="G60" i="23"/>
  <c r="G59" i="23"/>
  <c r="W59" i="23" s="1"/>
  <c r="G58" i="23"/>
  <c r="W58" i="23" s="1"/>
  <c r="C58" i="23"/>
  <c r="W57" i="23"/>
  <c r="N56" i="23"/>
  <c r="J56" i="23"/>
  <c r="I56" i="23"/>
  <c r="H56" i="23"/>
  <c r="G56" i="23"/>
  <c r="W56" i="23" s="1"/>
  <c r="J55" i="23"/>
  <c r="I55" i="23"/>
  <c r="H55" i="23"/>
  <c r="G55" i="23"/>
  <c r="W55" i="23" s="1"/>
  <c r="N54" i="23"/>
  <c r="G54" i="23"/>
  <c r="C54" i="23"/>
  <c r="W54" i="23" s="1"/>
  <c r="R53" i="23"/>
  <c r="W53" i="23" s="1"/>
  <c r="N53" i="23"/>
  <c r="R52" i="23"/>
  <c r="N52" i="23"/>
  <c r="W52" i="23" s="1"/>
  <c r="C52" i="23"/>
  <c r="G51" i="23"/>
  <c r="C51" i="23"/>
  <c r="N50" i="23"/>
  <c r="G50" i="23"/>
  <c r="G49" i="23"/>
  <c r="W49" i="23" s="1"/>
  <c r="R48" i="23"/>
  <c r="K48" i="23"/>
  <c r="J48" i="23"/>
  <c r="H48" i="23"/>
  <c r="G48" i="23"/>
  <c r="C48" i="23"/>
  <c r="J47" i="23"/>
  <c r="G47" i="23"/>
  <c r="F47" i="23"/>
  <c r="N46" i="23"/>
  <c r="G46" i="23"/>
  <c r="C46" i="23"/>
  <c r="N45" i="23"/>
  <c r="J45" i="23"/>
  <c r="G45" i="23"/>
  <c r="C45" i="23"/>
  <c r="W44" i="23"/>
  <c r="G43" i="23"/>
  <c r="W43" i="23" s="1"/>
  <c r="N42" i="23"/>
  <c r="G42" i="23"/>
  <c r="N41" i="23"/>
  <c r="G41" i="23"/>
  <c r="G40" i="23"/>
  <c r="R39" i="23"/>
  <c r="N39" i="23"/>
  <c r="K39" i="23"/>
  <c r="J39" i="23"/>
  <c r="H39" i="23"/>
  <c r="G39" i="23"/>
  <c r="F39" i="23"/>
  <c r="C39" i="23"/>
  <c r="H38" i="23"/>
  <c r="W38" i="23" s="1"/>
  <c r="N37" i="23"/>
  <c r="J37" i="23"/>
  <c r="G37" i="23"/>
  <c r="F37" i="23"/>
  <c r="R36" i="23"/>
  <c r="N36" i="23"/>
  <c r="K36" i="23"/>
  <c r="J36" i="23"/>
  <c r="G36" i="23"/>
  <c r="F36" i="23"/>
  <c r="N35" i="23"/>
  <c r="W35" i="23" s="1"/>
  <c r="N34" i="23"/>
  <c r="J34" i="23"/>
  <c r="I34" i="23"/>
  <c r="H34" i="23"/>
  <c r="G34" i="23"/>
  <c r="N33" i="23"/>
  <c r="J33" i="23"/>
  <c r="I33" i="23"/>
  <c r="H33" i="23"/>
  <c r="G33" i="23"/>
  <c r="R32" i="23"/>
  <c r="N32" i="23"/>
  <c r="K32" i="23"/>
  <c r="F32" i="23"/>
  <c r="W32" i="23" s="1"/>
  <c r="R31" i="23"/>
  <c r="N31" i="23"/>
  <c r="K31" i="23"/>
  <c r="F31" i="23"/>
  <c r="W31" i="23" s="1"/>
  <c r="R30" i="23"/>
  <c r="N30" i="23"/>
  <c r="G30" i="23"/>
  <c r="N29" i="23"/>
  <c r="G29" i="23"/>
  <c r="W29" i="23" s="1"/>
  <c r="W28" i="23"/>
  <c r="R27" i="23"/>
  <c r="N27" i="23"/>
  <c r="K27" i="23"/>
  <c r="J27" i="23"/>
  <c r="G27" i="23"/>
  <c r="F27" i="23"/>
  <c r="R26" i="23"/>
  <c r="N26" i="23"/>
  <c r="J26" i="23"/>
  <c r="I26" i="23"/>
  <c r="H26" i="23"/>
  <c r="G26" i="23"/>
  <c r="W26" i="23" s="1"/>
  <c r="N25" i="23"/>
  <c r="K25" i="23"/>
  <c r="G25" i="23"/>
  <c r="W25" i="23" s="1"/>
  <c r="W24" i="23"/>
  <c r="N24" i="23"/>
  <c r="F24" i="23"/>
  <c r="R23" i="23"/>
  <c r="N23" i="23"/>
  <c r="W23" i="23" s="1"/>
  <c r="G23" i="23"/>
  <c r="C23" i="23"/>
  <c r="W22" i="23"/>
  <c r="W21" i="23"/>
  <c r="J20" i="23"/>
  <c r="F20" i="23"/>
  <c r="F19" i="23"/>
  <c r="W18" i="23"/>
  <c r="H17" i="23"/>
  <c r="F16" i="23"/>
  <c r="H48" i="56" s="1"/>
  <c r="R14" i="23"/>
  <c r="R96" i="23" s="1"/>
  <c r="N14" i="23"/>
  <c r="K14" i="23"/>
  <c r="K96" i="23" s="1"/>
  <c r="J14" i="23"/>
  <c r="G14" i="23"/>
  <c r="N13" i="23"/>
  <c r="D13" i="23"/>
  <c r="W13" i="23" s="1"/>
  <c r="Z10" i="23"/>
  <c r="J10" i="23"/>
  <c r="F10" i="23"/>
  <c r="H46" i="56" s="1"/>
  <c r="E98" i="82"/>
  <c r="J97" i="82"/>
  <c r="C97" i="82"/>
  <c r="J96" i="82"/>
  <c r="J95" i="82"/>
  <c r="J94" i="82"/>
  <c r="I93" i="82"/>
  <c r="J93" i="82" s="1"/>
  <c r="J92" i="82"/>
  <c r="J91" i="82"/>
  <c r="J90" i="82"/>
  <c r="J89" i="82"/>
  <c r="J88" i="82"/>
  <c r="J87" i="82"/>
  <c r="J86" i="82"/>
  <c r="I85" i="82"/>
  <c r="J85" i="82" s="1"/>
  <c r="I84" i="82"/>
  <c r="J84" i="82" s="1"/>
  <c r="G83" i="82"/>
  <c r="J83" i="82" s="1"/>
  <c r="J82" i="82"/>
  <c r="I81" i="82"/>
  <c r="J81" i="82" s="1"/>
  <c r="I80" i="82"/>
  <c r="G80" i="82"/>
  <c r="G79" i="82"/>
  <c r="J79" i="82" s="1"/>
  <c r="G78" i="82"/>
  <c r="J78" i="82" s="1"/>
  <c r="H77" i="82"/>
  <c r="J77" i="82" s="1"/>
  <c r="H76" i="82"/>
  <c r="G76" i="82"/>
  <c r="C76" i="82"/>
  <c r="J75" i="82"/>
  <c r="D75" i="82"/>
  <c r="G74" i="82"/>
  <c r="J74" i="82" s="1"/>
  <c r="J73" i="82"/>
  <c r="I72" i="82"/>
  <c r="H72" i="82"/>
  <c r="G72" i="82"/>
  <c r="C72" i="82"/>
  <c r="J72" i="82" s="1"/>
  <c r="J71" i="82"/>
  <c r="J70" i="82"/>
  <c r="G69" i="82"/>
  <c r="J69" i="82" s="1"/>
  <c r="J68" i="82"/>
  <c r="J67" i="82"/>
  <c r="J66" i="82"/>
  <c r="J65" i="82"/>
  <c r="J64" i="82"/>
  <c r="J63" i="82"/>
  <c r="I62" i="82"/>
  <c r="D62" i="82"/>
  <c r="G61" i="82"/>
  <c r="J61" i="82" s="1"/>
  <c r="G60" i="82"/>
  <c r="G59" i="82"/>
  <c r="J59" i="82" s="1"/>
  <c r="G58" i="82"/>
  <c r="J58" i="82" s="1"/>
  <c r="J57" i="82"/>
  <c r="I56" i="82"/>
  <c r="G56" i="82"/>
  <c r="J56" i="82" s="1"/>
  <c r="G55" i="82"/>
  <c r="J55" i="82" s="1"/>
  <c r="I54" i="82"/>
  <c r="H54" i="82"/>
  <c r="I53" i="82"/>
  <c r="J53" i="82" s="1"/>
  <c r="D52" i="82"/>
  <c r="G51" i="82"/>
  <c r="C51" i="82"/>
  <c r="I50" i="82"/>
  <c r="G50" i="82"/>
  <c r="J50" i="82" s="1"/>
  <c r="G49" i="82"/>
  <c r="J49" i="82" s="1"/>
  <c r="I48" i="82"/>
  <c r="H48" i="82"/>
  <c r="G48" i="82"/>
  <c r="C48" i="82"/>
  <c r="I47" i="82"/>
  <c r="H47" i="82"/>
  <c r="G47" i="82"/>
  <c r="D47" i="82"/>
  <c r="I46" i="82"/>
  <c r="H46" i="82"/>
  <c r="G46" i="82"/>
  <c r="G45" i="82"/>
  <c r="C45" i="82"/>
  <c r="I44" i="82"/>
  <c r="J44" i="82" s="1"/>
  <c r="J43" i="82"/>
  <c r="I42" i="82"/>
  <c r="H42" i="82"/>
  <c r="G42" i="82"/>
  <c r="C42" i="82"/>
  <c r="I41" i="82"/>
  <c r="H41" i="82"/>
  <c r="G41" i="82"/>
  <c r="D41" i="82"/>
  <c r="C41" i="82"/>
  <c r="I40" i="82"/>
  <c r="H40" i="82"/>
  <c r="G40" i="82"/>
  <c r="D40" i="82"/>
  <c r="C40" i="82"/>
  <c r="I39" i="82"/>
  <c r="H39" i="82"/>
  <c r="G39" i="82"/>
  <c r="D39" i="82"/>
  <c r="C39" i="82"/>
  <c r="G38" i="82"/>
  <c r="J38" i="82" s="1"/>
  <c r="I37" i="82"/>
  <c r="H37" i="82"/>
  <c r="G37" i="82"/>
  <c r="D37" i="82"/>
  <c r="I36" i="82"/>
  <c r="G36" i="82"/>
  <c r="D36" i="82"/>
  <c r="I35" i="82"/>
  <c r="J35" i="82" s="1"/>
  <c r="I34" i="82"/>
  <c r="G34" i="82"/>
  <c r="J34" i="82" s="1"/>
  <c r="I33" i="82"/>
  <c r="G33" i="82"/>
  <c r="I32" i="82"/>
  <c r="D32" i="82"/>
  <c r="J32" i="82" s="1"/>
  <c r="D31" i="82"/>
  <c r="J31" i="82" s="1"/>
  <c r="I30" i="82"/>
  <c r="H30" i="82"/>
  <c r="G30" i="82"/>
  <c r="I29" i="82"/>
  <c r="G29" i="82"/>
  <c r="J28" i="82"/>
  <c r="G27" i="82"/>
  <c r="D27" i="82"/>
  <c r="I26" i="82"/>
  <c r="J26" i="82" s="1"/>
  <c r="H25" i="82"/>
  <c r="G25" i="82"/>
  <c r="I24" i="82"/>
  <c r="G24" i="82"/>
  <c r="J24" i="82" s="1"/>
  <c r="J23" i="82"/>
  <c r="I23" i="82"/>
  <c r="I22" i="82"/>
  <c r="H22" i="82"/>
  <c r="G22" i="82"/>
  <c r="C22" i="82"/>
  <c r="J21" i="82"/>
  <c r="J20" i="82"/>
  <c r="I20" i="82"/>
  <c r="I18" i="82"/>
  <c r="J17" i="82"/>
  <c r="J16" i="82"/>
  <c r="I15" i="82"/>
  <c r="I14" i="82"/>
  <c r="H12" i="82"/>
  <c r="I10" i="82"/>
  <c r="L52" i="16"/>
  <c r="J52" i="16"/>
  <c r="G52" i="16"/>
  <c r="H51" i="16"/>
  <c r="M51" i="16" s="1"/>
  <c r="H50" i="16"/>
  <c r="M50" i="16" s="1"/>
  <c r="F49" i="16"/>
  <c r="H49" i="16" s="1"/>
  <c r="K48" i="16"/>
  <c r="K52" i="16" s="1"/>
  <c r="I48" i="16"/>
  <c r="I52" i="16" s="1"/>
  <c r="D97" i="23" s="1"/>
  <c r="H47" i="16"/>
  <c r="M47" i="16" s="1"/>
  <c r="H46" i="16"/>
  <c r="M46" i="16" s="1"/>
  <c r="H45" i="16"/>
  <c r="M45" i="16" s="1"/>
  <c r="H44" i="16"/>
  <c r="M44" i="16" s="1"/>
  <c r="H43" i="16"/>
  <c r="H42" i="16"/>
  <c r="M42" i="16" s="1"/>
  <c r="D41" i="16"/>
  <c r="C41" i="16"/>
  <c r="M40" i="16"/>
  <c r="M39" i="16"/>
  <c r="M38" i="16"/>
  <c r="M37" i="16"/>
  <c r="M36" i="16"/>
  <c r="M35" i="16"/>
  <c r="M34" i="16"/>
  <c r="M33" i="16"/>
  <c r="M32" i="16"/>
  <c r="N33" i="16" s="1"/>
  <c r="M31" i="16"/>
  <c r="M30" i="16"/>
  <c r="M29" i="16"/>
  <c r="M28" i="16"/>
  <c r="M27" i="16"/>
  <c r="M26" i="16"/>
  <c r="M25" i="16"/>
  <c r="M24" i="16"/>
  <c r="M23" i="16"/>
  <c r="M22" i="16"/>
  <c r="M21" i="16"/>
  <c r="M20" i="16"/>
  <c r="M19" i="16"/>
  <c r="F17" i="35" s="1"/>
  <c r="M18" i="16"/>
  <c r="M17" i="16"/>
  <c r="M16" i="16"/>
  <c r="M15" i="16"/>
  <c r="M14" i="16"/>
  <c r="M13" i="16"/>
  <c r="M12" i="16"/>
  <c r="M11" i="16"/>
  <c r="M10" i="16"/>
  <c r="M9" i="16"/>
  <c r="F18" i="35"/>
  <c r="F16" i="35"/>
  <c r="P39" i="34" l="1"/>
  <c r="W67" i="23"/>
  <c r="H46" i="59"/>
  <c r="M36" i="59"/>
  <c r="M37" i="59"/>
  <c r="M38" i="59"/>
  <c r="M39" i="59"/>
  <c r="M40" i="59"/>
  <c r="M41" i="59"/>
  <c r="M42" i="59"/>
  <c r="M43" i="59"/>
  <c r="M44" i="59"/>
  <c r="M45" i="59"/>
  <c r="M6" i="29"/>
  <c r="M13" i="29"/>
  <c r="D64" i="27"/>
  <c r="C8" i="32" s="1"/>
  <c r="D8" i="32" s="1"/>
  <c r="H32" i="27"/>
  <c r="I32" i="27" s="1"/>
  <c r="I43" i="27"/>
  <c r="E41" i="27"/>
  <c r="H59" i="27"/>
  <c r="I59" i="27" s="1"/>
  <c r="H8" i="34"/>
  <c r="P10" i="34"/>
  <c r="Q10" i="34" s="1"/>
  <c r="P18" i="34"/>
  <c r="Q18" i="34" s="1"/>
  <c r="H33" i="34"/>
  <c r="K33" i="34" s="1"/>
  <c r="O42" i="34"/>
  <c r="J16" i="93"/>
  <c r="I17" i="27"/>
  <c r="J41" i="27"/>
  <c r="N16" i="16"/>
  <c r="N31" i="16"/>
  <c r="J52" i="82"/>
  <c r="J62" i="82"/>
  <c r="K96" i="82"/>
  <c r="F37" i="35" s="1"/>
  <c r="W45" i="23"/>
  <c r="W46" i="23"/>
  <c r="W51" i="23"/>
  <c r="T98" i="23"/>
  <c r="N20" i="59"/>
  <c r="E64" i="27"/>
  <c r="C9" i="32" s="1"/>
  <c r="D9" i="32" s="1"/>
  <c r="J7" i="27"/>
  <c r="J49" i="27"/>
  <c r="J8" i="34"/>
  <c r="H22" i="34"/>
  <c r="K22" i="34" s="1"/>
  <c r="P22" i="34" s="1"/>
  <c r="Q22" i="34" s="1"/>
  <c r="O33" i="34"/>
  <c r="G59" i="34"/>
  <c r="H62" i="34"/>
  <c r="F19" i="35"/>
  <c r="H41" i="16"/>
  <c r="M41" i="16" s="1"/>
  <c r="J33" i="82"/>
  <c r="J36" i="82"/>
  <c r="I60" i="82"/>
  <c r="I98" i="82" s="1"/>
  <c r="W34" i="23"/>
  <c r="W41" i="23"/>
  <c r="C6" i="27"/>
  <c r="G6" i="27"/>
  <c r="C17" i="27"/>
  <c r="J32" i="27"/>
  <c r="J37" i="27"/>
  <c r="J36" i="27" s="1"/>
  <c r="M8" i="34"/>
  <c r="M22" i="34"/>
  <c r="K37" i="34"/>
  <c r="Q39" i="34"/>
  <c r="J58" i="34"/>
  <c r="J63" i="34" s="1"/>
  <c r="J64" i="34" s="1"/>
  <c r="F15" i="33"/>
  <c r="I6" i="27"/>
  <c r="D11" i="32"/>
  <c r="B31" i="32"/>
  <c r="D31" i="32" s="1"/>
  <c r="D79" i="34"/>
  <c r="C104" i="34"/>
  <c r="N10" i="23" s="1"/>
  <c r="N40" i="16"/>
  <c r="J6" i="27"/>
  <c r="J29" i="82"/>
  <c r="J54" i="82"/>
  <c r="W39" i="23"/>
  <c r="W50" i="23"/>
  <c r="I21" i="59"/>
  <c r="J14" i="59"/>
  <c r="G46" i="59"/>
  <c r="M46" i="59" s="1"/>
  <c r="M3" i="29"/>
  <c r="G57" i="29" s="1"/>
  <c r="M8" i="29"/>
  <c r="M10" i="29"/>
  <c r="E52" i="29"/>
  <c r="I52" i="29"/>
  <c r="G58" i="29"/>
  <c r="C66" i="29"/>
  <c r="C76" i="29"/>
  <c r="C77" i="29" s="1"/>
  <c r="E48" i="16" s="1"/>
  <c r="E52" i="16" s="1"/>
  <c r="H18" i="27"/>
  <c r="H17" i="27" s="1"/>
  <c r="J18" i="27"/>
  <c r="J17" i="27" s="1"/>
  <c r="F62" i="27"/>
  <c r="F64" i="27" s="1"/>
  <c r="C10" i="32" s="1"/>
  <c r="D10" i="32" s="1"/>
  <c r="J63" i="27"/>
  <c r="O8" i="34"/>
  <c r="K9" i="34"/>
  <c r="P9" i="34" s="1"/>
  <c r="Q9" i="34" s="1"/>
  <c r="L34" i="34"/>
  <c r="K12" i="34"/>
  <c r="P12" i="34" s="1"/>
  <c r="Q12" i="34" s="1"/>
  <c r="P23" i="34"/>
  <c r="Q23" i="34" s="1"/>
  <c r="M28" i="34"/>
  <c r="K31" i="34"/>
  <c r="P31" i="34" s="1"/>
  <c r="Q31" i="34" s="1"/>
  <c r="M33" i="34"/>
  <c r="K38" i="34"/>
  <c r="K42" i="34" s="1"/>
  <c r="P40" i="34"/>
  <c r="Q40" i="34" s="1"/>
  <c r="J70" i="34"/>
  <c r="M58" i="34"/>
  <c r="K54" i="34"/>
  <c r="O54" i="34"/>
  <c r="J15" i="64"/>
  <c r="K15" i="64" s="1"/>
  <c r="W76" i="23"/>
  <c r="J15" i="59"/>
  <c r="J16" i="59"/>
  <c r="K46" i="59"/>
  <c r="G64" i="29"/>
  <c r="G65" i="29" s="1"/>
  <c r="G66" i="29"/>
  <c r="G68" i="29" s="1"/>
  <c r="C69" i="29"/>
  <c r="C71" i="29" s="1"/>
  <c r="D48" i="16" s="1"/>
  <c r="D52" i="16" s="1"/>
  <c r="C72" i="29"/>
  <c r="H37" i="27"/>
  <c r="I42" i="27"/>
  <c r="I41" i="27" s="1"/>
  <c r="M49" i="16"/>
  <c r="C64" i="27"/>
  <c r="K8" i="34"/>
  <c r="P8" i="34" s="1"/>
  <c r="Q8" i="34" s="1"/>
  <c r="P24" i="34"/>
  <c r="Q24" i="34" s="1"/>
  <c r="O28" i="34"/>
  <c r="K45" i="34"/>
  <c r="K46" i="34" s="1"/>
  <c r="Q106" i="34" s="1"/>
  <c r="J50" i="34"/>
  <c r="P54" i="34"/>
  <c r="Q54" i="34" s="1"/>
  <c r="K55" i="34"/>
  <c r="P55" i="34" s="1"/>
  <c r="Q55" i="34" s="1"/>
  <c r="J39" i="82"/>
  <c r="J40" i="82"/>
  <c r="J45" i="82"/>
  <c r="J51" i="82"/>
  <c r="J80" i="82"/>
  <c r="W30" i="23"/>
  <c r="W40" i="23"/>
  <c r="W42" i="23"/>
  <c r="W48" i="23"/>
  <c r="F21" i="59"/>
  <c r="J17" i="59"/>
  <c r="J18" i="59"/>
  <c r="M34" i="59"/>
  <c r="M9" i="29"/>
  <c r="M48" i="29"/>
  <c r="G62" i="29"/>
  <c r="G63" i="29" s="1"/>
  <c r="H7" i="27"/>
  <c r="O34" i="34"/>
  <c r="O43" i="34" s="1"/>
  <c r="P21" i="34"/>
  <c r="Q21" i="34" s="1"/>
  <c r="O22" i="34"/>
  <c r="H28" i="34"/>
  <c r="K32" i="34"/>
  <c r="P32" i="34" s="1"/>
  <c r="Q32" i="34" s="1"/>
  <c r="I33" i="34"/>
  <c r="M42" i="34"/>
  <c r="P38" i="34"/>
  <c r="Q38" i="34" s="1"/>
  <c r="L106" i="34"/>
  <c r="K50" i="34"/>
  <c r="K51" i="34"/>
  <c r="K58" i="34" s="1"/>
  <c r="H58" i="34"/>
  <c r="K52" i="34"/>
  <c r="O52" i="34"/>
  <c r="Q56" i="34"/>
  <c r="K56" i="34"/>
  <c r="J96" i="23"/>
  <c r="J12" i="59"/>
  <c r="O20" i="59"/>
  <c r="M35" i="59"/>
  <c r="L52" i="29"/>
  <c r="P15" i="34"/>
  <c r="Q15" i="34" s="1"/>
  <c r="K30" i="34"/>
  <c r="P30" i="34" s="1"/>
  <c r="Q30" i="34" s="1"/>
  <c r="I42" i="34"/>
  <c r="P37" i="34"/>
  <c r="P41" i="34"/>
  <c r="Q41" i="34" s="1"/>
  <c r="C107" i="34"/>
  <c r="N11" i="23" s="1"/>
  <c r="C70" i="34"/>
  <c r="D80" i="34" s="1"/>
  <c r="D20" i="33" s="1"/>
  <c r="D10" i="82" s="1"/>
  <c r="H59" i="34"/>
  <c r="H11" i="56" s="1"/>
  <c r="C10" i="82" s="1"/>
  <c r="K71" i="34"/>
  <c r="I58" i="34"/>
  <c r="K53" i="34"/>
  <c r="O53" i="34"/>
  <c r="P56" i="34"/>
  <c r="C85" i="34"/>
  <c r="C22" i="33" s="1"/>
  <c r="J34" i="34"/>
  <c r="C87" i="34" s="1"/>
  <c r="P17" i="34"/>
  <c r="Q17" i="34" s="1"/>
  <c r="M48" i="34"/>
  <c r="M49" i="34"/>
  <c r="P49" i="34" s="1"/>
  <c r="Q49" i="34" s="1"/>
  <c r="O48" i="34"/>
  <c r="O50" i="34" s="1"/>
  <c r="K57" i="34"/>
  <c r="P57" i="34" s="1"/>
  <c r="Q57" i="34" s="1"/>
  <c r="K61" i="34"/>
  <c r="H69" i="34"/>
  <c r="F30" i="33"/>
  <c r="M61" i="34"/>
  <c r="K19" i="34"/>
  <c r="P19" i="34" s="1"/>
  <c r="Q19" i="34" s="1"/>
  <c r="Q14" i="34"/>
  <c r="J12" i="82"/>
  <c r="K16" i="34"/>
  <c r="P16" i="34" s="1"/>
  <c r="K20" i="34"/>
  <c r="P20" i="34" s="1"/>
  <c r="Q20" i="34" s="1"/>
  <c r="K25" i="34"/>
  <c r="P25" i="34" s="1"/>
  <c r="Q25" i="34" s="1"/>
  <c r="E81" i="34"/>
  <c r="D10" i="23"/>
  <c r="H10" i="23"/>
  <c r="H96" i="23" s="1"/>
  <c r="H13" i="57"/>
  <c r="G11" i="82" s="1"/>
  <c r="J11" i="82" s="1"/>
  <c r="D13" i="33"/>
  <c r="H20" i="23" s="1"/>
  <c r="C8" i="33"/>
  <c r="C91" i="34"/>
  <c r="E20" i="23"/>
  <c r="H41" i="56"/>
  <c r="C20" i="33"/>
  <c r="D83" i="34"/>
  <c r="E15" i="33"/>
  <c r="I10" i="23"/>
  <c r="I96" i="23" s="1"/>
  <c r="E19" i="23"/>
  <c r="J43" i="34"/>
  <c r="C79" i="34"/>
  <c r="L35" i="34"/>
  <c r="L64" i="34" s="1"/>
  <c r="Q88" i="34"/>
  <c r="E30" i="33"/>
  <c r="L43" i="34"/>
  <c r="Q82" i="34"/>
  <c r="J76" i="82"/>
  <c r="K77" i="82" s="1"/>
  <c r="F34" i="35" s="1"/>
  <c r="W33" i="23"/>
  <c r="W17" i="23"/>
  <c r="W47" i="23"/>
  <c r="J46" i="82"/>
  <c r="J47" i="82"/>
  <c r="W36" i="23"/>
  <c r="W27" i="23"/>
  <c r="W37" i="23"/>
  <c r="W80" i="23"/>
  <c r="J30" i="82"/>
  <c r="J41" i="82"/>
  <c r="J42" i="82"/>
  <c r="J27" i="82"/>
  <c r="J22" i="82"/>
  <c r="J25" i="82"/>
  <c r="J37" i="82"/>
  <c r="H57" i="38"/>
  <c r="I13" i="82"/>
  <c r="H98" i="82"/>
  <c r="G100" i="82" s="1"/>
  <c r="J48" i="82"/>
  <c r="K10" i="93"/>
  <c r="K16" i="93" s="1"/>
  <c r="N41" i="16"/>
  <c r="F20" i="35"/>
  <c r="J13" i="92"/>
  <c r="K12" i="92"/>
  <c r="K13" i="92" s="1"/>
  <c r="F36" i="80"/>
  <c r="H14" i="80" s="1"/>
  <c r="G47" i="80"/>
  <c r="H16" i="80" s="1"/>
  <c r="F54" i="80"/>
  <c r="H94" i="80"/>
  <c r="H77" i="80" s="1"/>
  <c r="G51" i="80"/>
  <c r="H75" i="80"/>
  <c r="C30" i="32"/>
  <c r="O13" i="59"/>
  <c r="G11" i="59"/>
  <c r="K73" i="82"/>
  <c r="F33" i="35" s="1"/>
  <c r="K94" i="82"/>
  <c r="F35" i="35" s="1"/>
  <c r="C27" i="45"/>
  <c r="C99" i="82"/>
  <c r="M43" i="16"/>
  <c r="P51" i="34" l="1"/>
  <c r="P53" i="34"/>
  <c r="Q53" i="34" s="1"/>
  <c r="O58" i="34"/>
  <c r="Q33" i="34"/>
  <c r="J60" i="82"/>
  <c r="E96" i="23"/>
  <c r="P33" i="34"/>
  <c r="M34" i="34"/>
  <c r="H15" i="57" s="1"/>
  <c r="G18" i="82" s="1"/>
  <c r="Q105" i="34"/>
  <c r="N20" i="23" s="1"/>
  <c r="O63" i="34"/>
  <c r="O64" i="34" s="1"/>
  <c r="H71" i="34"/>
  <c r="N97" i="23"/>
  <c r="O19" i="59"/>
  <c r="O18" i="59"/>
  <c r="O12" i="59"/>
  <c r="K66" i="82"/>
  <c r="F32" i="35" s="1"/>
  <c r="P52" i="34"/>
  <c r="Q52" i="34" s="1"/>
  <c r="Q51" i="34"/>
  <c r="I37" i="27"/>
  <c r="H36" i="27"/>
  <c r="D71" i="34"/>
  <c r="G60" i="29"/>
  <c r="G72" i="29" s="1"/>
  <c r="P45" i="34"/>
  <c r="N96" i="23"/>
  <c r="N98" i="23" s="1"/>
  <c r="M62" i="34"/>
  <c r="M63" i="34" s="1"/>
  <c r="M64" i="34" s="1"/>
  <c r="D69" i="34"/>
  <c r="K62" i="34"/>
  <c r="F69" i="34"/>
  <c r="P61" i="34"/>
  <c r="G22" i="33"/>
  <c r="C12" i="23"/>
  <c r="W12" i="23" s="1"/>
  <c r="J71" i="34"/>
  <c r="F87" i="34" s="1"/>
  <c r="I63" i="34"/>
  <c r="I64" i="34" s="1"/>
  <c r="P42" i="34"/>
  <c r="Q37" i="34"/>
  <c r="Q42" i="34" s="1"/>
  <c r="K59" i="34"/>
  <c r="F70" i="34"/>
  <c r="N87" i="34" s="1"/>
  <c r="K28" i="34"/>
  <c r="P28" i="34" s="1"/>
  <c r="Q28" i="34"/>
  <c r="M64" i="27"/>
  <c r="N52" i="27"/>
  <c r="C7" i="32"/>
  <c r="C75" i="29"/>
  <c r="F48" i="16"/>
  <c r="F52" i="16" s="1"/>
  <c r="G99" i="82" s="1"/>
  <c r="G101" i="82" s="1"/>
  <c r="I59" i="34"/>
  <c r="H14" i="56" s="1"/>
  <c r="C15" i="82" s="1"/>
  <c r="I34" i="34"/>
  <c r="M52" i="29"/>
  <c r="O16" i="59"/>
  <c r="E80" i="34"/>
  <c r="M50" i="34"/>
  <c r="D107" i="34"/>
  <c r="N16" i="23" s="1"/>
  <c r="H63" i="34"/>
  <c r="H64" i="34" s="1"/>
  <c r="C71" i="34"/>
  <c r="C73" i="34" s="1"/>
  <c r="H6" i="27"/>
  <c r="H64" i="27"/>
  <c r="L105" i="34"/>
  <c r="N19" i="23" s="1"/>
  <c r="F88" i="34"/>
  <c r="J73" i="34"/>
  <c r="D88" i="34"/>
  <c r="D25" i="33" s="1"/>
  <c r="J62" i="27"/>
  <c r="H62" i="27"/>
  <c r="F61" i="27"/>
  <c r="J61" i="27" s="1"/>
  <c r="C67" i="29"/>
  <c r="H97" i="23" s="1"/>
  <c r="C48" i="16"/>
  <c r="P48" i="34"/>
  <c r="H70" i="34"/>
  <c r="H73" i="34" s="1"/>
  <c r="O59" i="34"/>
  <c r="F71" i="34"/>
  <c r="K63" i="34"/>
  <c r="K64" i="34" s="1"/>
  <c r="J59" i="34"/>
  <c r="H13" i="56" s="1"/>
  <c r="K70" i="34"/>
  <c r="K73" i="34" s="1"/>
  <c r="H34" i="34"/>
  <c r="J64" i="27"/>
  <c r="C57" i="29" s="1"/>
  <c r="C61" i="29" s="1"/>
  <c r="Q16" i="34"/>
  <c r="P34" i="34"/>
  <c r="P43" i="34" s="1"/>
  <c r="K34" i="34"/>
  <c r="H34" i="56"/>
  <c r="H40" i="56" s="1"/>
  <c r="D96" i="23"/>
  <c r="D15" i="33"/>
  <c r="C7" i="33"/>
  <c r="E79" i="34"/>
  <c r="C83" i="34"/>
  <c r="E83" i="34" s="1"/>
  <c r="H43" i="56"/>
  <c r="G20" i="33"/>
  <c r="C10" i="23"/>
  <c r="H44" i="56"/>
  <c r="H45" i="56" s="1"/>
  <c r="G11" i="23"/>
  <c r="W11" i="23" s="1"/>
  <c r="G8" i="33"/>
  <c r="H84" i="80"/>
  <c r="J11" i="64" s="1"/>
  <c r="K11" i="64" s="1"/>
  <c r="G54" i="80"/>
  <c r="H17" i="80"/>
  <c r="H22" i="80" s="1"/>
  <c r="J10" i="64" s="1"/>
  <c r="J11" i="59"/>
  <c r="J21" i="59" s="1"/>
  <c r="G21" i="59"/>
  <c r="O14" i="59"/>
  <c r="O17" i="59"/>
  <c r="O15" i="59"/>
  <c r="N59" i="59"/>
  <c r="N44" i="16"/>
  <c r="L80" i="34" l="1"/>
  <c r="C90" i="29"/>
  <c r="M43" i="34"/>
  <c r="Q34" i="34"/>
  <c r="Q43" i="34" s="1"/>
  <c r="F91" i="34"/>
  <c r="N86" i="34"/>
  <c r="F73" i="34"/>
  <c r="Q58" i="34"/>
  <c r="H12" i="57"/>
  <c r="G10" i="82" s="1"/>
  <c r="J10" i="82" s="1"/>
  <c r="P50" i="34"/>
  <c r="Q48" i="34"/>
  <c r="Q50" i="34" s="1"/>
  <c r="I62" i="27"/>
  <c r="H61" i="27"/>
  <c r="I61" i="27" s="1"/>
  <c r="D24" i="33"/>
  <c r="D14" i="82"/>
  <c r="P46" i="34"/>
  <c r="Q45" i="34"/>
  <c r="Q46" i="34" s="1"/>
  <c r="H48" i="16"/>
  <c r="C52" i="16"/>
  <c r="I99" i="82" s="1"/>
  <c r="D70" i="34"/>
  <c r="N81" i="34" s="1"/>
  <c r="M59" i="34"/>
  <c r="H15" i="56" s="1"/>
  <c r="C18" i="82" s="1"/>
  <c r="D87" i="34"/>
  <c r="I43" i="34"/>
  <c r="D7" i="32"/>
  <c r="D12" i="32" s="1"/>
  <c r="C21" i="32" s="1"/>
  <c r="C26" i="32" s="1"/>
  <c r="C27" i="32" s="1"/>
  <c r="C12" i="32"/>
  <c r="C18" i="32" s="1"/>
  <c r="B26" i="32" s="1"/>
  <c r="B27" i="32" s="1"/>
  <c r="D73" i="34"/>
  <c r="N80" i="34"/>
  <c r="I36" i="27"/>
  <c r="I64" i="27"/>
  <c r="P58" i="34"/>
  <c r="D15" i="82"/>
  <c r="J15" i="82" s="1"/>
  <c r="D16" i="23"/>
  <c r="H37" i="56" s="1"/>
  <c r="D28" i="33"/>
  <c r="Q87" i="34"/>
  <c r="P62" i="34"/>
  <c r="Q61" i="34"/>
  <c r="Q62" i="34" s="1"/>
  <c r="N99" i="23"/>
  <c r="K43" i="34"/>
  <c r="H16" i="56"/>
  <c r="H16" i="57"/>
  <c r="L86" i="34"/>
  <c r="G7" i="33"/>
  <c r="G10" i="23"/>
  <c r="G96" i="23" s="1"/>
  <c r="H98" i="23" s="1"/>
  <c r="H99" i="23" s="1"/>
  <c r="J19" i="64"/>
  <c r="K10" i="64"/>
  <c r="K19" i="64" s="1"/>
  <c r="H62" i="56"/>
  <c r="F14" i="23"/>
  <c r="D13" i="82"/>
  <c r="L21" i="59"/>
  <c r="M21" i="59"/>
  <c r="O11" i="59"/>
  <c r="F21" i="35"/>
  <c r="L84" i="34" l="1"/>
  <c r="C12" i="33"/>
  <c r="C27" i="33"/>
  <c r="N84" i="34"/>
  <c r="Q80" i="34"/>
  <c r="D27" i="33"/>
  <c r="Q81" i="34"/>
  <c r="G24" i="33"/>
  <c r="D30" i="33"/>
  <c r="P59" i="34"/>
  <c r="Q63" i="34"/>
  <c r="Q64" i="34" s="1"/>
  <c r="P63" i="34"/>
  <c r="P64" i="34" s="1"/>
  <c r="D19" i="82"/>
  <c r="D20" i="23"/>
  <c r="H39" i="56" s="1"/>
  <c r="C25" i="33"/>
  <c r="D91" i="34"/>
  <c r="M48" i="16"/>
  <c r="H52" i="16"/>
  <c r="C28" i="33"/>
  <c r="N90" i="34"/>
  <c r="B28" i="32"/>
  <c r="B30" i="32" s="1"/>
  <c r="D30" i="32" s="1"/>
  <c r="B33" i="32" s="1"/>
  <c r="B34" i="32" s="1"/>
  <c r="H36" i="56"/>
  <c r="D15" i="23" s="1"/>
  <c r="W15" i="23" s="1"/>
  <c r="J14" i="82"/>
  <c r="Q59" i="34"/>
  <c r="G19" i="82"/>
  <c r="G98" i="82" s="1"/>
  <c r="H17" i="57"/>
  <c r="H57" i="57" s="1"/>
  <c r="C13" i="33"/>
  <c r="Q86" i="34"/>
  <c r="Q90" i="34" s="1"/>
  <c r="L90" i="34"/>
  <c r="C19" i="82"/>
  <c r="H33" i="56"/>
  <c r="H63" i="56" s="1"/>
  <c r="I63" i="56" s="1"/>
  <c r="J63" i="56" s="1"/>
  <c r="W10" i="23"/>
  <c r="W97" i="23" s="1"/>
  <c r="N21" i="59"/>
  <c r="O10" i="59"/>
  <c r="O21" i="59" s="1"/>
  <c r="J13" i="82"/>
  <c r="K21" i="59"/>
  <c r="F96" i="23"/>
  <c r="W14" i="23"/>
  <c r="G19" i="23" l="1"/>
  <c r="G12" i="33"/>
  <c r="Q84" i="34"/>
  <c r="F23" i="35"/>
  <c r="F24" i="35" s="1"/>
  <c r="N48" i="16"/>
  <c r="N52" i="16" s="1"/>
  <c r="M52" i="16"/>
  <c r="C20" i="23"/>
  <c r="G28" i="33"/>
  <c r="G25" i="33"/>
  <c r="C16" i="23"/>
  <c r="C30" i="33"/>
  <c r="G30" i="33" s="1"/>
  <c r="C19" i="23"/>
  <c r="W19" i="23" s="1"/>
  <c r="G27" i="33"/>
  <c r="O52" i="16"/>
  <c r="C25" i="45"/>
  <c r="D18" i="82"/>
  <c r="D19" i="23"/>
  <c r="H38" i="56" s="1"/>
  <c r="J19" i="82"/>
  <c r="C98" i="82"/>
  <c r="G20" i="23"/>
  <c r="W20" i="23" s="1"/>
  <c r="G13" i="33"/>
  <c r="C15" i="33"/>
  <c r="G15" i="33" s="1"/>
  <c r="K102" i="82"/>
  <c r="I100" i="82"/>
  <c r="I101" i="82" s="1"/>
  <c r="D13" i="45"/>
  <c r="D25" i="45"/>
  <c r="C31" i="45" l="1"/>
  <c r="C33" i="45"/>
  <c r="W16" i="23"/>
  <c r="C96" i="23"/>
  <c r="J18" i="82"/>
  <c r="D98" i="82"/>
  <c r="J98" i="82" s="1"/>
  <c r="I11" i="33"/>
  <c r="G32" i="33"/>
  <c r="D11" i="45" l="1"/>
  <c r="D17" i="45" s="1"/>
  <c r="C100" i="82"/>
  <c r="C101" i="82" s="1"/>
  <c r="K98" i="82"/>
  <c r="K21" i="82"/>
  <c r="F31" i="35" s="1"/>
  <c r="F39" i="35" s="1"/>
  <c r="H39" i="35" s="1"/>
  <c r="J99" i="82"/>
  <c r="L98" i="82" s="1"/>
  <c r="D98" i="23"/>
  <c r="D99" i="23" s="1"/>
  <c r="W96" i="23"/>
  <c r="D27" i="45"/>
  <c r="D31" i="45" s="1"/>
  <c r="G31" i="45" s="1"/>
  <c r="F31" i="45" l="1"/>
</calcChain>
</file>

<file path=xl/comments1.xml><?xml version="1.0" encoding="utf-8"?>
<comments xmlns="http://schemas.openxmlformats.org/spreadsheetml/2006/main">
  <authors>
    <author>Dagoberto</author>
    <author>DAGOBERTO</author>
  </authors>
  <commentList>
    <comment ref="D15" authorId="0" shapeId="0">
      <text>
        <r>
          <rPr>
            <b/>
            <sz val="8"/>
            <color indexed="81"/>
            <rFont val="Tahoma"/>
            <family val="2"/>
          </rPr>
          <t>Dagoberto:</t>
        </r>
        <r>
          <rPr>
            <sz val="8"/>
            <color indexed="81"/>
            <rFont val="Tahoma"/>
            <family val="2"/>
          </rPr>
          <t xml:space="preserve">
Pago de Prestamo</t>
        </r>
      </text>
    </comment>
    <comment ref="B25" authorId="1" shapeId="0">
      <text>
        <r>
          <rPr>
            <b/>
            <sz val="8"/>
            <color indexed="81"/>
            <rFont val="Tahoma"/>
            <family val="2"/>
          </rPr>
          <t>DAGOBERTO:</t>
        </r>
        <r>
          <rPr>
            <sz val="8"/>
            <color indexed="81"/>
            <rFont val="Tahoma"/>
            <family val="2"/>
          </rPr>
          <t xml:space="preserve">
FODES,FISDL Y VICEMINISTERIO DE VIVIENDA</t>
        </r>
      </text>
    </comment>
  </commentList>
</comments>
</file>

<file path=xl/comments10.xml><?xml version="1.0" encoding="utf-8"?>
<comments xmlns="http://schemas.openxmlformats.org/spreadsheetml/2006/main">
  <authors>
    <author>win10</author>
  </authors>
  <commentList>
    <comment ref="H12" authorId="0" shapeId="0">
      <text>
        <r>
          <rPr>
            <b/>
            <sz val="9"/>
            <color indexed="81"/>
            <rFont val="Tahoma"/>
            <family val="2"/>
          </rPr>
          <t>win10:</t>
        </r>
        <r>
          <rPr>
            <sz val="9"/>
            <color indexed="81"/>
            <rFont val="Tahoma"/>
            <family val="2"/>
          </rPr>
          <t xml:space="preserve">
INTERESES VA EN ESTE 
CODIGO</t>
        </r>
      </text>
    </comment>
    <comment ref="H13" authorId="0" shapeId="0">
      <text>
        <r>
          <rPr>
            <b/>
            <sz val="9"/>
            <color indexed="81"/>
            <rFont val="Tahoma"/>
            <family val="2"/>
          </rPr>
          <t>win10:</t>
        </r>
        <r>
          <rPr>
            <sz val="9"/>
            <color indexed="81"/>
            <rFont val="Tahoma"/>
            <family val="2"/>
          </rPr>
          <t xml:space="preserve">
CAPITAL
EN ESTE CODIGO</t>
        </r>
      </text>
    </comment>
  </commentList>
</comments>
</file>

<file path=xl/comments11.xml><?xml version="1.0" encoding="utf-8"?>
<comments xmlns="http://schemas.openxmlformats.org/spreadsheetml/2006/main">
  <authors>
    <author>USER</author>
    <author>win10</author>
  </authors>
  <commentList>
    <comment ref="H10" authorId="0" shapeId="0">
      <text>
        <r>
          <rPr>
            <b/>
            <sz val="9"/>
            <color indexed="81"/>
            <rFont val="Tahoma"/>
            <family val="2"/>
          </rPr>
          <t>USER:</t>
        </r>
        <r>
          <rPr>
            <sz val="9"/>
            <color indexed="81"/>
            <rFont val="Tahoma"/>
            <family val="2"/>
          </rPr>
          <t xml:space="preserve">
AQUÍ AGREGUE EL SOBRANTE DE CAMINOS VECINALES 2018 QUE SON $6.380.34</t>
        </r>
      </text>
    </comment>
    <comment ref="H11" authorId="0" shapeId="0">
      <text>
        <r>
          <rPr>
            <b/>
            <sz val="9"/>
            <color indexed="81"/>
            <rFont val="Tahoma"/>
            <family val="2"/>
          </rPr>
          <t>USER:</t>
        </r>
        <r>
          <rPr>
            <sz val="9"/>
            <color indexed="81"/>
            <rFont val="Tahoma"/>
            <family val="2"/>
          </rPr>
          <t xml:space="preserve">
para proyecto concreteado pasaje la ronda vides</t>
        </r>
      </text>
    </comment>
    <comment ref="H23" authorId="1" shapeId="0">
      <text>
        <r>
          <rPr>
            <b/>
            <sz val="9"/>
            <color indexed="81"/>
            <rFont val="Tahoma"/>
            <family val="2"/>
          </rPr>
          <t>win10:</t>
        </r>
        <r>
          <rPr>
            <sz val="9"/>
            <color indexed="81"/>
            <rFont val="Tahoma"/>
            <family val="2"/>
          </rPr>
          <t xml:space="preserve">
aquí esta el proyecto, atencion a Emergencia por pandemia COVID-19
Aquí tambien va el sobrante de la cuenta, (decreto 608)
</t>
        </r>
      </text>
    </comment>
  </commentList>
</comments>
</file>

<file path=xl/comments12.xml><?xml version="1.0" encoding="utf-8"?>
<comments xmlns="http://schemas.openxmlformats.org/spreadsheetml/2006/main">
  <authors>
    <author>win10</author>
  </authors>
  <commentList>
    <comment ref="C69" authorId="0" shapeId="0">
      <text>
        <r>
          <rPr>
            <b/>
            <sz val="9"/>
            <color indexed="81"/>
            <rFont val="Tahoma"/>
            <family val="2"/>
          </rPr>
          <t>win10:</t>
        </r>
        <r>
          <rPr>
            <sz val="9"/>
            <color indexed="81"/>
            <rFont val="Tahoma"/>
            <family val="2"/>
          </rPr>
          <t xml:space="preserve">
 </t>
        </r>
        <r>
          <rPr>
            <b/>
            <i/>
            <sz val="9"/>
            <color indexed="81"/>
            <rFont val="Tahoma"/>
            <family val="2"/>
          </rPr>
          <t>AQUÍ VA EL SALDO DE LOS MESES QUE NO HEMOS RECIVIDO EL FODES DEL 75%, QUE SON JUNIO, JULIO, AGOSTO, SEPTIEMBRE, OCTUBRE Y NOVIEMBRE 2020.</t>
        </r>
        <r>
          <rPr>
            <sz val="9"/>
            <color indexed="81"/>
            <rFont val="Tahoma"/>
            <family val="2"/>
          </rPr>
          <t xml:space="preserve">  </t>
        </r>
      </text>
    </comment>
  </commentList>
</comments>
</file>

<file path=xl/comments13.xml><?xml version="1.0" encoding="utf-8"?>
<comments xmlns="http://schemas.openxmlformats.org/spreadsheetml/2006/main">
  <authors>
    <author>USER</author>
    <author>win10</author>
  </authors>
  <commentList>
    <comment ref="H61" authorId="0" shapeId="0">
      <text>
        <r>
          <rPr>
            <b/>
            <sz val="9"/>
            <color indexed="81"/>
            <rFont val="Tahoma"/>
            <family val="2"/>
          </rPr>
          <t>USER:</t>
        </r>
        <r>
          <rPr>
            <sz val="9"/>
            <color indexed="81"/>
            <rFont val="Tahoma"/>
            <family val="2"/>
          </rPr>
          <t xml:space="preserve">
AQUÍ VAN LOS 12 MESES INCLUIDO DEL AÑO Y UNA
 DIETA DE JUNIO Y UNA DIETA MAS EN DICIEMBRE</t>
        </r>
      </text>
    </comment>
    <comment ref="J70" authorId="1" shapeId="0">
      <text>
        <r>
          <rPr>
            <b/>
            <sz val="9"/>
            <color indexed="81"/>
            <rFont val="Tahoma"/>
            <family val="2"/>
          </rPr>
          <t>win10:</t>
        </r>
        <r>
          <rPr>
            <sz val="9"/>
            <color indexed="81"/>
            <rFont val="Tahoma"/>
            <family val="2"/>
          </rPr>
          <t xml:space="preserve">
RECTIFICAR FORMULA LA $312.00 ESA SE QUEDARA EN LA 0102 Y LA OTRA DE $460.00 SE QUEDARA EN LA 0202 SEGÚN LA BONIFICACIÓN POR QUE LAS DOS ESTAN EN LA 0102</t>
        </r>
      </text>
    </comment>
    <comment ref="N87" authorId="0" shapeId="0">
      <text>
        <r>
          <rPr>
            <b/>
            <sz val="9"/>
            <color indexed="81"/>
            <rFont val="Tahoma"/>
            <family val="2"/>
          </rPr>
          <t>USER:</t>
        </r>
        <r>
          <rPr>
            <sz val="9"/>
            <color indexed="81"/>
            <rFont val="Tahoma"/>
            <family val="2"/>
          </rPr>
          <t xml:space="preserve">
SE LE ILIMINARA LA FORMULA POR QUE ME ESTA AUMENTANDO UN CENTAVO MAS EN EL PRESUPUESTO $1.510.79, ESTO ES LO CORRECTO EN LA FORMULA
FORMULA =K19/12*3</t>
        </r>
      </text>
    </comment>
    <comment ref="N88" authorId="0" shapeId="0">
      <text>
        <r>
          <rPr>
            <b/>
            <sz val="9"/>
            <color indexed="81"/>
            <rFont val="Tahoma"/>
            <family val="2"/>
          </rPr>
          <t>USER:</t>
        </r>
        <r>
          <rPr>
            <sz val="9"/>
            <color indexed="81"/>
            <rFont val="Tahoma"/>
            <family val="2"/>
          </rPr>
          <t xml:space="preserve">
SE LE ILIMINARA LA FORMULA POR QUE ME ESTA AUMENTANDO UN CENTAVO MAS EN EL PRESUPUESTO $1.510.79, ESTO ES LO CORRECTO EN LA FORMULA
FORMULA =K22/12*3</t>
        </r>
      </text>
    </comment>
  </commentList>
</comments>
</file>

<file path=xl/comments14.xml><?xml version="1.0" encoding="utf-8"?>
<comments xmlns="http://schemas.openxmlformats.org/spreadsheetml/2006/main">
  <authors>
    <author>USER</author>
  </authors>
  <commentList>
    <comment ref="C7" authorId="0" shapeId="0">
      <text>
        <r>
          <rPr>
            <b/>
            <sz val="9"/>
            <color indexed="81"/>
            <rFont val="Tahoma"/>
            <family val="2"/>
          </rPr>
          <t>USER:</t>
        </r>
        <r>
          <rPr>
            <sz val="9"/>
            <color indexed="81"/>
            <rFont val="Tahoma"/>
            <family val="2"/>
          </rPr>
          <t xml:space="preserve">
SUELDO DE LA LINEA 01-01, PARA PAGAR LO DE 9 MESES </t>
        </r>
      </text>
    </comment>
    <comment ref="D7" authorId="0" shapeId="0">
      <text>
        <r>
          <rPr>
            <b/>
            <sz val="9"/>
            <color indexed="81"/>
            <rFont val="Tahoma"/>
            <family val="2"/>
          </rPr>
          <t>USER:</t>
        </r>
        <r>
          <rPr>
            <sz val="9"/>
            <color indexed="81"/>
            <rFont val="Tahoma"/>
            <family val="2"/>
          </rPr>
          <t xml:space="preserve">
SUELDO DE LA LINEA 01-02, PARA PAGAR 9 MESES</t>
        </r>
      </text>
    </comment>
    <comment ref="E7" authorId="0" shapeId="0">
      <text>
        <r>
          <rPr>
            <b/>
            <sz val="9"/>
            <color indexed="81"/>
            <rFont val="Tahoma"/>
            <family val="2"/>
          </rPr>
          <t>USER:</t>
        </r>
        <r>
          <rPr>
            <sz val="9"/>
            <color indexed="81"/>
            <rFont val="Tahoma"/>
            <family val="2"/>
          </rPr>
          <t xml:space="preserve">
SUELDO DE LA LINEA 02-01, PARA PAGAR  9 MESES </t>
        </r>
      </text>
    </comment>
    <comment ref="F7" authorId="0" shapeId="0">
      <text>
        <r>
          <rPr>
            <b/>
            <sz val="9"/>
            <color indexed="81"/>
            <rFont val="Tahoma"/>
            <family val="2"/>
          </rPr>
          <t>USER
SUELDO DE LA LINEA 02-02, PAGA PAGAR EN 9 MESES</t>
        </r>
      </text>
    </comment>
    <comment ref="C10" authorId="0" shapeId="0">
      <text>
        <r>
          <rPr>
            <b/>
            <sz val="9"/>
            <color indexed="81"/>
            <rFont val="Tahoma"/>
            <family val="2"/>
          </rPr>
          <t xml:space="preserve">USER:
SUELDO DEL AUDITOR DE LA 01-01, PAGO EN 9 MESES </t>
        </r>
        <r>
          <rPr>
            <sz val="9"/>
            <color indexed="81"/>
            <rFont val="Tahoma"/>
            <family val="2"/>
          </rPr>
          <t xml:space="preserve">
</t>
        </r>
      </text>
    </comment>
    <comment ref="F10" authorId="0" shapeId="0">
      <text>
        <r>
          <rPr>
            <b/>
            <sz val="9"/>
            <color indexed="81"/>
            <rFont val="Tahoma"/>
            <family val="2"/>
          </rPr>
          <t xml:space="preserve">USER:
SUELDO DE LOS DE CONTRATO DE LA LINEA 02-02 PAGO DE 9 MESES </t>
        </r>
        <r>
          <rPr>
            <sz val="9"/>
            <color indexed="81"/>
            <rFont val="Tahoma"/>
            <family val="2"/>
          </rPr>
          <t xml:space="preserve">
</t>
        </r>
      </text>
    </comment>
    <comment ref="C20" authorId="0" shapeId="0">
      <text>
        <r>
          <rPr>
            <b/>
            <sz val="9"/>
            <color indexed="81"/>
            <rFont val="Tahoma"/>
            <family val="2"/>
          </rPr>
          <t>USER:</t>
        </r>
        <r>
          <rPr>
            <sz val="9"/>
            <color indexed="81"/>
            <rFont val="Tahoma"/>
            <family val="2"/>
          </rPr>
          <t xml:space="preserve">
SE PAGRA DE FONDOS PROPIOS 2  MESES</t>
        </r>
      </text>
    </comment>
    <comment ref="D20" authorId="0" shapeId="0">
      <text>
        <r>
          <rPr>
            <b/>
            <sz val="9"/>
            <color indexed="81"/>
            <rFont val="Tahoma"/>
            <family val="2"/>
          </rPr>
          <t>USER:</t>
        </r>
        <r>
          <rPr>
            <sz val="9"/>
            <color indexed="81"/>
            <rFont val="Tahoma"/>
            <family val="2"/>
          </rPr>
          <t xml:space="preserve">
SE PAGARA 2 MESES DE FONDOS PROPIOS</t>
        </r>
      </text>
    </comment>
    <comment ref="E20" authorId="0" shapeId="0">
      <text>
        <r>
          <rPr>
            <b/>
            <sz val="9"/>
            <color indexed="81"/>
            <rFont val="Tahoma"/>
            <family val="2"/>
          </rPr>
          <t>USER:</t>
        </r>
        <r>
          <rPr>
            <sz val="9"/>
            <color indexed="81"/>
            <rFont val="Tahoma"/>
            <family val="2"/>
          </rPr>
          <t xml:space="preserve">
SE PAGARA DE FONDOS PROPIOS 2  MESES </t>
        </r>
      </text>
    </comment>
    <comment ref="F20" authorId="0" shapeId="0">
      <text>
        <r>
          <rPr>
            <b/>
            <sz val="9"/>
            <color indexed="81"/>
            <rFont val="Tahoma"/>
            <family val="2"/>
          </rPr>
          <t>USER:</t>
        </r>
        <r>
          <rPr>
            <sz val="9"/>
            <color indexed="81"/>
            <rFont val="Tahoma"/>
            <family val="2"/>
          </rPr>
          <t xml:space="preserve">
SE PAGARA DE FONDOS PROPIOS 2 MESES</t>
        </r>
      </text>
    </comment>
  </commentList>
</comments>
</file>

<file path=xl/comments15.xml><?xml version="1.0" encoding="utf-8"?>
<comments xmlns="http://schemas.openxmlformats.org/spreadsheetml/2006/main">
  <authors>
    <author>USER</author>
  </authors>
  <commentList>
    <comment ref="A31" authorId="0" shapeId="0">
      <text>
        <r>
          <rPr>
            <b/>
            <sz val="9"/>
            <color indexed="81"/>
            <rFont val="Tahoma"/>
            <family val="2"/>
          </rPr>
          <t>USER:</t>
        </r>
        <r>
          <rPr>
            <sz val="9"/>
            <color indexed="81"/>
            <rFont val="Tahoma"/>
            <family val="2"/>
          </rPr>
          <t xml:space="preserve">
JOSE ALCIDES GUERRA</t>
        </r>
      </text>
    </comment>
    <comment ref="A32" authorId="0" shapeId="0">
      <text>
        <r>
          <rPr>
            <b/>
            <sz val="9"/>
            <color indexed="81"/>
            <rFont val="Tahoma"/>
            <family val="2"/>
          </rPr>
          <t>USER:</t>
        </r>
        <r>
          <rPr>
            <sz val="9"/>
            <color indexed="81"/>
            <rFont val="Tahoma"/>
            <family val="2"/>
          </rPr>
          <t xml:space="preserve">
ARNOLDO ROGELIO CLARA</t>
        </r>
      </text>
    </comment>
    <comment ref="A33" authorId="0" shapeId="0">
      <text>
        <r>
          <rPr>
            <b/>
            <sz val="9"/>
            <color indexed="81"/>
            <rFont val="Tahoma"/>
            <family val="2"/>
          </rPr>
          <t>USER:</t>
        </r>
        <r>
          <rPr>
            <sz val="9"/>
            <color indexed="81"/>
            <rFont val="Tahoma"/>
            <family val="2"/>
          </rPr>
          <t xml:space="preserve">
FREDIS MENJIVAR ORELLANA</t>
        </r>
      </text>
    </comment>
    <comment ref="A34" authorId="0" shapeId="0">
      <text>
        <r>
          <rPr>
            <b/>
            <sz val="9"/>
            <color indexed="81"/>
            <rFont val="Tahoma"/>
            <family val="2"/>
          </rPr>
          <t>USER:</t>
        </r>
        <r>
          <rPr>
            <sz val="9"/>
            <color indexed="81"/>
            <rFont val="Tahoma"/>
            <family val="2"/>
          </rPr>
          <t xml:space="preserve">
JOSE RICARDO ALAS RENDEROS </t>
        </r>
      </text>
    </comment>
    <comment ref="A35" authorId="0" shapeId="0">
      <text>
        <r>
          <rPr>
            <b/>
            <sz val="9"/>
            <color indexed="81"/>
            <rFont val="Tahoma"/>
            <family val="2"/>
          </rPr>
          <t>USER:</t>
        </r>
        <r>
          <rPr>
            <sz val="9"/>
            <color indexed="81"/>
            <rFont val="Tahoma"/>
            <family val="2"/>
          </rPr>
          <t xml:space="preserve">
EVARISTO BADIO OLIVA</t>
        </r>
      </text>
    </comment>
    <comment ref="A42" authorId="0" shapeId="0">
      <text>
        <r>
          <rPr>
            <b/>
            <sz val="9"/>
            <color indexed="81"/>
            <rFont val="Tahoma"/>
            <family val="2"/>
          </rPr>
          <t>USER:</t>
        </r>
        <r>
          <rPr>
            <sz val="9"/>
            <color indexed="81"/>
            <rFont val="Tahoma"/>
            <family val="2"/>
          </rPr>
          <t xml:space="preserve">
EVARISTO BADIO OLIVA</t>
        </r>
      </text>
    </comment>
    <comment ref="A43" authorId="0" shapeId="0">
      <text>
        <r>
          <rPr>
            <b/>
            <sz val="9"/>
            <color indexed="81"/>
            <rFont val="Tahoma"/>
            <family val="2"/>
          </rPr>
          <t>USER:</t>
        </r>
        <r>
          <rPr>
            <sz val="9"/>
            <color indexed="81"/>
            <rFont val="Tahoma"/>
            <family val="2"/>
          </rPr>
          <t xml:space="preserve">
EVARISTO BADIO OLIVA</t>
        </r>
      </text>
    </comment>
    <comment ref="A44" authorId="0" shapeId="0">
      <text>
        <r>
          <rPr>
            <b/>
            <sz val="9"/>
            <color indexed="81"/>
            <rFont val="Tahoma"/>
            <family val="2"/>
          </rPr>
          <t>USER:</t>
        </r>
        <r>
          <rPr>
            <sz val="9"/>
            <color indexed="81"/>
            <rFont val="Tahoma"/>
            <family val="2"/>
          </rPr>
          <t xml:space="preserve">
EVARISTO BADIO OLIVA</t>
        </r>
      </text>
    </comment>
    <comment ref="A45" authorId="0" shapeId="0">
      <text>
        <r>
          <rPr>
            <b/>
            <sz val="9"/>
            <color indexed="81"/>
            <rFont val="Tahoma"/>
            <family val="2"/>
          </rPr>
          <t>USER:</t>
        </r>
        <r>
          <rPr>
            <sz val="9"/>
            <color indexed="81"/>
            <rFont val="Tahoma"/>
            <family val="2"/>
          </rPr>
          <t xml:space="preserve">
EVARISTO BADIO OLIVA</t>
        </r>
      </text>
    </comment>
    <comment ref="A46" authorId="0" shapeId="0">
      <text>
        <r>
          <rPr>
            <b/>
            <sz val="9"/>
            <color indexed="81"/>
            <rFont val="Tahoma"/>
            <family val="2"/>
          </rPr>
          <t>USER:</t>
        </r>
        <r>
          <rPr>
            <sz val="9"/>
            <color indexed="81"/>
            <rFont val="Tahoma"/>
            <family val="2"/>
          </rPr>
          <t xml:space="preserve">
EVARISTO BADIO OLIVA</t>
        </r>
      </text>
    </comment>
  </commentList>
</comments>
</file>

<file path=xl/comments2.xml><?xml version="1.0" encoding="utf-8"?>
<comments xmlns="http://schemas.openxmlformats.org/spreadsheetml/2006/main">
  <authors>
    <author>DAGOBERTO</author>
    <author>USER</author>
  </authors>
  <commentList>
    <comment ref="F43" authorId="0" shapeId="0">
      <text>
        <r>
          <rPr>
            <b/>
            <sz val="8"/>
            <color indexed="81"/>
            <rFont val="Tahoma"/>
            <family val="2"/>
          </rPr>
          <t>DAGOBERTO:</t>
        </r>
        <r>
          <rPr>
            <sz val="8"/>
            <color indexed="81"/>
            <rFont val="Tahoma"/>
            <family val="2"/>
          </rPr>
          <t xml:space="preserve">
Se buscara financiamiento para proyecto de agua en Siberia-Regadio-El zonte</t>
        </r>
      </text>
    </comment>
    <comment ref="F48" authorId="1" shapeId="0">
      <text>
        <r>
          <rPr>
            <b/>
            <sz val="9"/>
            <color indexed="81"/>
            <rFont val="Tahoma"/>
            <family val="2"/>
          </rPr>
          <t>USER:</t>
        </r>
        <r>
          <rPr>
            <sz val="9"/>
            <color indexed="81"/>
            <rFont val="Tahoma"/>
            <family val="2"/>
          </rPr>
          <t xml:space="preserve">
sobrantes de interés y Se va a transferir a la 120 libre disponibilidad</t>
        </r>
      </text>
    </comment>
    <comment ref="K48" authorId="1" shapeId="0">
      <text>
        <r>
          <rPr>
            <b/>
            <sz val="9"/>
            <color indexed="81"/>
            <rFont val="Tahoma"/>
            <family val="2"/>
          </rPr>
          <t>USER:</t>
        </r>
        <r>
          <rPr>
            <sz val="9"/>
            <color indexed="81"/>
            <rFont val="Tahoma"/>
            <family val="2"/>
          </rPr>
          <t xml:space="preserve">
sobrantes de prestamos Seva a transferir al fondo propio</t>
        </r>
      </text>
    </comment>
  </commentList>
</comments>
</file>

<file path=xl/comments3.xml><?xml version="1.0" encoding="utf-8"?>
<comments xmlns="http://schemas.openxmlformats.org/spreadsheetml/2006/main">
  <authors>
    <author>USER</author>
    <author>win10</author>
    <author>Chiltuipan</author>
    <author>DAGOBERTO</author>
  </authors>
  <commentList>
    <comment ref="F37" authorId="0" shapeId="0">
      <text>
        <r>
          <rPr>
            <b/>
            <sz val="9"/>
            <color indexed="81"/>
            <rFont val="Tahoma"/>
            <family val="2"/>
          </rPr>
          <t>USER:</t>
        </r>
        <r>
          <rPr>
            <sz val="9"/>
            <color indexed="81"/>
            <rFont val="Tahoma"/>
            <family val="2"/>
          </rPr>
          <t xml:space="preserve">
compra de materiales eléctricos para mantenimiento de alumbrado publico </t>
        </r>
      </text>
    </comment>
    <comment ref="G38" authorId="1" shapeId="0">
      <text>
        <r>
          <rPr>
            <b/>
            <sz val="9"/>
            <color indexed="81"/>
            <rFont val="Tahoma"/>
            <family val="2"/>
          </rPr>
          <t>win10:</t>
        </r>
        <r>
          <rPr>
            <sz val="9"/>
            <color indexed="81"/>
            <rFont val="Tahoma"/>
            <family val="2"/>
          </rPr>
          <t xml:space="preserve">
especies donde van carnet, formulas Isam y otras </t>
        </r>
      </text>
    </comment>
    <comment ref="F47" authorId="0" shapeId="0">
      <text>
        <r>
          <rPr>
            <b/>
            <sz val="9"/>
            <color indexed="81"/>
            <rFont val="Tahoma"/>
            <family val="2"/>
          </rPr>
          <t>USER:</t>
        </r>
        <r>
          <rPr>
            <sz val="9"/>
            <color indexed="81"/>
            <rFont val="Tahoma"/>
            <family val="2"/>
          </rPr>
          <t xml:space="preserve">
mantenimiento de bienes muebles como alumbrado publico, reparación de cañerías las flores, taquillo, corinto y otras</t>
        </r>
      </text>
    </comment>
    <comment ref="I47" authorId="2" shapeId="0">
      <text>
        <r>
          <rPr>
            <b/>
            <sz val="9"/>
            <color indexed="81"/>
            <rFont val="Tahoma"/>
            <family val="2"/>
          </rPr>
          <t>Chiltiupan:</t>
        </r>
        <r>
          <rPr>
            <sz val="9"/>
            <color indexed="81"/>
            <rFont val="Tahoma"/>
            <family val="2"/>
          </rPr>
          <t xml:space="preserve">
 mantenimiento de agua potable, corinto, taquillo, las flores y Siberia 
los tres miradores </t>
        </r>
      </text>
    </comment>
    <comment ref="C51" authorId="0" shapeId="0">
      <text>
        <r>
          <rPr>
            <b/>
            <sz val="9"/>
            <color indexed="81"/>
            <rFont val="Tahoma"/>
            <family val="2"/>
          </rPr>
          <t>USER:</t>
        </r>
        <r>
          <rPr>
            <sz val="9"/>
            <color indexed="81"/>
            <rFont val="Tahoma"/>
            <family val="2"/>
          </rPr>
          <t xml:space="preserve">
día del empleado municipal 
convivio con otras instituciones </t>
        </r>
      </text>
    </comment>
    <comment ref="C52" authorId="2" shapeId="0">
      <text>
        <r>
          <rPr>
            <b/>
            <sz val="9"/>
            <color indexed="81"/>
            <rFont val="Tahoma"/>
            <family val="2"/>
          </rPr>
          <t>Chiltiupan:</t>
        </r>
        <r>
          <rPr>
            <sz val="9"/>
            <color indexed="81"/>
            <rFont val="Tahoma"/>
            <family val="2"/>
          </rPr>
          <t xml:space="preserve">
ESTA PARTIDA ES PARA PAGAR ALGUNA GRUA PARA PODER REMOLCAR ALGUN VEHICULO </t>
        </r>
      </text>
    </comment>
    <comment ref="C54" authorId="0" shapeId="0">
      <text>
        <r>
          <rPr>
            <b/>
            <sz val="9"/>
            <color indexed="81"/>
            <rFont val="Tahoma"/>
            <family val="2"/>
          </rPr>
          <t>USER:</t>
        </r>
        <r>
          <rPr>
            <sz val="9"/>
            <color indexed="81"/>
            <rFont val="Tahoma"/>
            <family val="2"/>
          </rPr>
          <t xml:space="preserve">
3- MESES DE PAGO DE CAPSA SOBRE LO QUE ES LA BASURA PORQUE DEL 75% ESTA PRESUPUESTADO HASTA SEPTIEMBRE Y SE PAGARA 3 MESES DE AQUÍ DEL FONDOS PROPIOS. </t>
        </r>
      </text>
    </comment>
    <comment ref="G62" authorId="3" shapeId="0">
      <text>
        <r>
          <rPr>
            <b/>
            <sz val="8"/>
            <color indexed="81"/>
            <rFont val="Tahoma"/>
            <family val="2"/>
          </rPr>
          <t>DAGOBERTO:</t>
        </r>
        <r>
          <rPr>
            <sz val="8"/>
            <color indexed="81"/>
            <rFont val="Tahoma"/>
            <family val="2"/>
          </rPr>
          <t xml:space="preserve">
,Ordenanza de medio Ambiente, </t>
        </r>
      </text>
    </comment>
    <comment ref="G73" authorId="0" shapeId="0">
      <text>
        <r>
          <rPr>
            <b/>
            <sz val="9"/>
            <color indexed="81"/>
            <rFont val="Tahoma"/>
            <family val="2"/>
          </rPr>
          <t>USER:</t>
        </r>
        <r>
          <rPr>
            <sz val="9"/>
            <color indexed="81"/>
            <rFont val="Tahoma"/>
            <family val="2"/>
          </rPr>
          <t xml:space="preserve">
pago para refrenda de tarjeta de vehículo</t>
        </r>
      </text>
    </comment>
    <comment ref="C74" authorId="3" shapeId="0">
      <text>
        <r>
          <rPr>
            <b/>
            <sz val="8"/>
            <color indexed="81"/>
            <rFont val="Tahoma"/>
            <family val="2"/>
          </rPr>
          <t>DAGOBERTO:</t>
        </r>
        <r>
          <rPr>
            <sz val="8"/>
            <color indexed="81"/>
            <rFont val="Tahoma"/>
            <family val="2"/>
          </rPr>
          <t xml:space="preserve">
Cuotas de INSAFORP, Concejales y empleados</t>
        </r>
      </text>
    </comment>
    <comment ref="I74" authorId="3" shapeId="0">
      <text>
        <r>
          <rPr>
            <b/>
            <sz val="8"/>
            <color indexed="81"/>
            <rFont val="Tahoma"/>
            <family val="2"/>
          </rPr>
          <t>DAGOBERTO:</t>
        </r>
        <r>
          <rPr>
            <sz val="8"/>
            <color indexed="81"/>
            <rFont val="Tahoma"/>
            <family val="2"/>
          </rPr>
          <t xml:space="preserve">
   pago al INSAFORP $ 1.431.63
</t>
        </r>
      </text>
    </comment>
    <comment ref="C76" authorId="0" shapeId="0">
      <text>
        <r>
          <rPr>
            <b/>
            <sz val="9"/>
            <color indexed="81"/>
            <rFont val="Tahoma"/>
            <family val="2"/>
          </rPr>
          <t>USER:</t>
        </r>
        <r>
          <rPr>
            <sz val="9"/>
            <color indexed="81"/>
            <rFont val="Tahoma"/>
            <family val="2"/>
          </rPr>
          <t xml:space="preserve">
APOYO A PERSONAS DE ESCASOS RECURSOS MEDICOS Y OTRAS </t>
        </r>
      </text>
    </comment>
    <comment ref="I84" authorId="3" shapeId="0">
      <text>
        <r>
          <rPr>
            <b/>
            <sz val="8"/>
            <color indexed="81"/>
            <rFont val="Tahoma"/>
            <family val="2"/>
          </rPr>
          <t>DAGOBERTO:</t>
        </r>
        <r>
          <rPr>
            <sz val="8"/>
            <color indexed="81"/>
            <rFont val="Tahoma"/>
            <family val="2"/>
          </rPr>
          <t xml:space="preserve">
Compra de terreno , para Casa  Comunal en Caserío El Progreso Cuervo Arriba .</t>
        </r>
      </text>
    </comment>
    <comment ref="G85" authorId="0" shapeId="0">
      <text>
        <r>
          <rPr>
            <b/>
            <sz val="9"/>
            <color indexed="81"/>
            <rFont val="Tahoma"/>
            <family val="2"/>
          </rPr>
          <t>USER:</t>
        </r>
        <r>
          <rPr>
            <sz val="9"/>
            <color indexed="81"/>
            <rFont val="Tahoma"/>
            <family val="2"/>
          </rPr>
          <t xml:space="preserve">
compra para licencia de computadora
Mejoramiento del sistema catastral</t>
        </r>
      </text>
    </comment>
    <comment ref="G97" authorId="0" shapeId="0">
      <text>
        <r>
          <rPr>
            <b/>
            <sz val="9"/>
            <color indexed="81"/>
            <rFont val="Tahoma"/>
            <family val="2"/>
          </rPr>
          <t>USER:</t>
        </r>
        <r>
          <rPr>
            <sz val="9"/>
            <color indexed="81"/>
            <rFont val="Tahoma"/>
            <family val="2"/>
          </rPr>
          <t xml:space="preserve">
CUOTA DE MENBRESIA DE AMUSDELI  DE AÑOS ANTERIORES, NOV, Y DIC, 2013 ASTA 2017
pago de facturas de año 2017 por pagar $4.672.17
</t>
        </r>
      </text>
    </comment>
    <comment ref="D100" authorId="1" shapeId="0">
      <text>
        <r>
          <rPr>
            <b/>
            <sz val="9"/>
            <color indexed="81"/>
            <rFont val="Tahoma"/>
            <family val="2"/>
          </rPr>
          <t>win10:</t>
        </r>
        <r>
          <rPr>
            <sz val="9"/>
            <color indexed="81"/>
            <rFont val="Tahoma"/>
            <family val="2"/>
          </rPr>
          <t xml:space="preserve">
120- LIBRE DISPONIBILIDAD ADMINISTRACION </t>
        </r>
      </text>
    </comment>
    <comment ref="H100" authorId="1" shapeId="0">
      <text>
        <r>
          <rPr>
            <b/>
            <sz val="9"/>
            <color indexed="81"/>
            <rFont val="Tahoma"/>
            <family val="2"/>
          </rPr>
          <t>win10:</t>
        </r>
        <r>
          <rPr>
            <sz val="9"/>
            <color indexed="81"/>
            <rFont val="Tahoma"/>
            <family val="2"/>
          </rPr>
          <t xml:space="preserve">
120- LIBRE DISPONIBILIDAD ADMINISTRACION </t>
        </r>
      </text>
    </comment>
  </commentList>
</comments>
</file>

<file path=xl/comments4.xml><?xml version="1.0" encoding="utf-8"?>
<comments xmlns="http://schemas.openxmlformats.org/spreadsheetml/2006/main">
  <authors>
    <author>USER</author>
    <author>DAGOBERTO</author>
    <author>Chiltuipan</author>
  </authors>
  <commentList>
    <comment ref="AE10" authorId="0" shapeId="0">
      <text>
        <r>
          <rPr>
            <b/>
            <sz val="9"/>
            <color indexed="81"/>
            <rFont val="Tahoma"/>
            <family val="2"/>
          </rPr>
          <t>USER:</t>
        </r>
        <r>
          <rPr>
            <sz val="9"/>
            <color indexed="81"/>
            <rFont val="Tahoma"/>
            <family val="2"/>
          </rPr>
          <t xml:space="preserve">
SUELDO DE LA LINEA 01-02, PARA PAGAR 9 MESES</t>
        </r>
      </text>
    </comment>
    <comment ref="AF10" authorId="0" shapeId="0">
      <text>
        <r>
          <rPr>
            <b/>
            <sz val="9"/>
            <color indexed="81"/>
            <rFont val="Tahoma"/>
            <family val="2"/>
          </rPr>
          <t>USER:</t>
        </r>
        <r>
          <rPr>
            <sz val="9"/>
            <color indexed="81"/>
            <rFont val="Tahoma"/>
            <family val="2"/>
          </rPr>
          <t xml:space="preserve">
SUELDO DE LA LINEA 02-01, PARA PAGAR  9 MESES </t>
        </r>
      </text>
    </comment>
    <comment ref="AG10" authorId="0" shapeId="0">
      <text>
        <r>
          <rPr>
            <b/>
            <sz val="9"/>
            <color indexed="81"/>
            <rFont val="Tahoma"/>
            <family val="2"/>
          </rPr>
          <t>USER
SUELDO DE LA LINEA 02-02, PAGA PAGAR EN 9 MESES</t>
        </r>
      </text>
    </comment>
    <comment ref="AK10" authorId="0" shapeId="0">
      <text>
        <r>
          <rPr>
            <b/>
            <sz val="9"/>
            <color indexed="81"/>
            <rFont val="Tahoma"/>
            <family val="2"/>
          </rPr>
          <t>USER:</t>
        </r>
        <r>
          <rPr>
            <sz val="9"/>
            <color indexed="81"/>
            <rFont val="Tahoma"/>
            <family val="2"/>
          </rPr>
          <t xml:space="preserve">
Pago sueldos a encargados de casa de la juventud,
pago de sueldo comité local de derechos de la niñez
 motorista de ambulacia de u. de salud,
 pago a 6 viglinates de program de apoyo a la deguridad CAM,PNC Y FAES
</t>
        </r>
      </text>
    </comment>
    <comment ref="Z13" authorId="1" shapeId="0">
      <text>
        <r>
          <rPr>
            <b/>
            <sz val="8"/>
            <color indexed="81"/>
            <rFont val="Tahoma"/>
            <family val="2"/>
          </rPr>
          <t>DAGOBERTO:</t>
        </r>
        <r>
          <rPr>
            <sz val="8"/>
            <color indexed="81"/>
            <rFont val="Tahoma"/>
            <family val="2"/>
          </rPr>
          <t xml:space="preserve">
Pago Auditor Interno 2 meses</t>
        </r>
      </text>
    </comment>
    <comment ref="AD13" authorId="1" shapeId="0">
      <text>
        <r>
          <rPr>
            <b/>
            <sz val="8"/>
            <color indexed="81"/>
            <rFont val="Tahoma"/>
            <family val="2"/>
          </rPr>
          <t>DAGOBERTO:</t>
        </r>
        <r>
          <rPr>
            <sz val="8"/>
            <color indexed="81"/>
            <rFont val="Tahoma"/>
            <family val="2"/>
          </rPr>
          <t xml:space="preserve">
pago del Auditor Intern  10 meses  del 25% fodes</t>
        </r>
      </text>
    </comment>
    <comment ref="AG13" authorId="1" shapeId="0">
      <text>
        <r>
          <rPr>
            <b/>
            <sz val="8"/>
            <color indexed="81"/>
            <rFont val="Tahoma"/>
            <family val="2"/>
          </rPr>
          <t>DAGOBERTO:</t>
        </r>
        <r>
          <rPr>
            <sz val="8"/>
            <color indexed="81"/>
            <rFont val="Tahoma"/>
            <family val="2"/>
          </rPr>
          <t xml:space="preserve">
PAGO A OF. DE INFORMACION, Y A 2 POLICIAS ( Vigilantes Municipales) y Ordenanza de limpieza
</t>
        </r>
      </text>
    </comment>
    <comment ref="AD15" authorId="1" shapeId="0">
      <text>
        <r>
          <rPr>
            <b/>
            <sz val="8"/>
            <color indexed="81"/>
            <rFont val="Tahoma"/>
            <family val="2"/>
          </rPr>
          <t>DAGOBERTO:</t>
        </r>
        <r>
          <rPr>
            <sz val="8"/>
            <color indexed="81"/>
            <rFont val="Tahoma"/>
            <family val="2"/>
          </rPr>
          <t xml:space="preserve">
Aguinaldo del Auditor</t>
        </r>
      </text>
    </comment>
    <comment ref="AG15" authorId="1" shapeId="0">
      <text>
        <r>
          <rPr>
            <b/>
            <sz val="8"/>
            <color indexed="81"/>
            <rFont val="Tahoma"/>
            <family val="2"/>
          </rPr>
          <t>DAGOBERTO:</t>
        </r>
        <r>
          <rPr>
            <sz val="8"/>
            <color indexed="81"/>
            <rFont val="Tahoma"/>
            <family val="2"/>
          </rPr>
          <t xml:space="preserve">
Aguinaldo de Of.de Informacion y 2 policias
</t>
        </r>
      </text>
    </comment>
    <comment ref="AE17" authorId="0" shapeId="0">
      <text>
        <r>
          <rPr>
            <b/>
            <sz val="9"/>
            <color indexed="81"/>
            <rFont val="Tahoma"/>
            <family val="2"/>
          </rPr>
          <t>USER:</t>
        </r>
        <r>
          <rPr>
            <sz val="9"/>
            <color indexed="81"/>
            <rFont val="Tahoma"/>
            <family val="2"/>
          </rPr>
          <t xml:space="preserve">
PARA HORAS EXTRAS </t>
        </r>
      </text>
    </comment>
    <comment ref="AK19" authorId="1" shapeId="0">
      <text>
        <r>
          <rPr>
            <b/>
            <sz val="8"/>
            <color indexed="81"/>
            <rFont val="Tahoma"/>
            <family val="2"/>
          </rPr>
          <t>JORGE VIDES:</t>
        </r>
        <r>
          <rPr>
            <sz val="8"/>
            <color indexed="81"/>
            <rFont val="Tahoma"/>
            <family val="2"/>
          </rPr>
          <t xml:space="preserve">
ISSS   a vigilantes o CAM
ISSS, DE MOTORISTA DE AMBULANCIA
ISSS, COMITÉ DE DERECHO DE LA NIÑEZ
ISSS,  CASA DE ENCUENTRO JUVENIL
MAS EL APORTE DEL INSAFORD QUE VA INCLUIDO CON EL PAGO DEL ISSS $453.48</t>
        </r>
      </text>
    </comment>
    <comment ref="AK20" authorId="1" shapeId="0">
      <text>
        <r>
          <rPr>
            <b/>
            <sz val="8"/>
            <color indexed="81"/>
            <rFont val="Tahoma"/>
            <family val="2"/>
          </rPr>
          <t>JORGEVIDES:</t>
        </r>
        <r>
          <rPr>
            <sz val="8"/>
            <color indexed="81"/>
            <rFont val="Tahoma"/>
            <family val="2"/>
          </rPr>
          <t xml:space="preserve">
AFP   a vigilantes o CAM
AFP, DE MOTORISTA DE AMBULANCIA
AFP, COMITÉ DE DERECHO DE LA NIÑEZ
AFP,  CASA DE ENCUENTRO JUVENIL</t>
        </r>
      </text>
    </comment>
    <comment ref="Z23" authorId="0" shapeId="0">
      <text>
        <r>
          <rPr>
            <b/>
            <sz val="9"/>
            <color indexed="81"/>
            <rFont val="Tahoma"/>
            <family val="2"/>
          </rPr>
          <t>USER:</t>
        </r>
        <r>
          <rPr>
            <sz val="9"/>
            <color indexed="81"/>
            <rFont val="Tahoma"/>
            <family val="2"/>
          </rPr>
          <t xml:space="preserve">
alimentos o refrigerio del consejo municipal $1.500
adulto mayor $300
dia de la madre $1.000
dia del padre  $ 700
apoyo a charlas prevencion de la violencia $800
otros actividades $800</t>
        </r>
      </text>
    </comment>
    <comment ref="AK23" authorId="1" shapeId="0">
      <text>
        <r>
          <rPr>
            <b/>
            <sz val="8"/>
            <color indexed="81"/>
            <rFont val="Tahoma"/>
            <family val="2"/>
          </rPr>
          <t>DAGOBERTO:</t>
        </r>
        <r>
          <rPr>
            <sz val="8"/>
            <color indexed="81"/>
            <rFont val="Tahoma"/>
            <family val="2"/>
          </rPr>
          <t xml:space="preserve">
1) </t>
        </r>
        <r>
          <rPr>
            <sz val="9"/>
            <color indexed="81"/>
            <rFont val="Tahoma"/>
            <family val="2"/>
          </rPr>
          <t>Compra alimentos para elementos de tropa de Regimiento de Caballeria  destacados en el Municipio, en programa de Seguridad del municipio,
2) Almuerzo y refrigerios para actividades de Casa de Encuentro,
3) Progrmas  del comité de Derechos de la niñes , 
4) Unidad de la mujer,reuniones de deporte, Etc.
5) plan municipal prevencion a la violencia hacia la mujer</t>
        </r>
      </text>
    </comment>
    <comment ref="AK24" authorId="0" shapeId="0">
      <text>
        <r>
          <rPr>
            <b/>
            <sz val="9"/>
            <color indexed="81"/>
            <rFont val="Tahoma"/>
            <family val="2"/>
          </rPr>
          <t>USER:</t>
        </r>
        <r>
          <rPr>
            <sz val="9"/>
            <color indexed="81"/>
            <rFont val="Tahoma"/>
            <family val="2"/>
          </rPr>
          <t xml:space="preserve">
PARA COMPRA DE DE SEMILLA DE HUERTOS DE EDUCO A LAS ESCUELAS </t>
        </r>
      </text>
    </comment>
    <comment ref="AE26" authorId="0" shapeId="0">
      <text>
        <r>
          <rPr>
            <b/>
            <sz val="9"/>
            <color indexed="81"/>
            <rFont val="Tahoma"/>
            <family val="2"/>
          </rPr>
          <t>USER:</t>
        </r>
        <r>
          <rPr>
            <sz val="9"/>
            <color indexed="81"/>
            <rFont val="Tahoma"/>
            <family val="2"/>
          </rPr>
          <t xml:space="preserve">
PARA COMPRAR SOBRES BLANCOS PARA COLECTURIA</t>
        </r>
      </text>
    </comment>
    <comment ref="AC27" authorId="1" shapeId="0">
      <text>
        <r>
          <rPr>
            <b/>
            <sz val="8"/>
            <color indexed="81"/>
            <rFont val="Tahoma"/>
            <family val="2"/>
          </rPr>
          <t>DAGOBERTO:</t>
        </r>
        <r>
          <rPr>
            <sz val="8"/>
            <color indexed="81"/>
            <rFont val="Tahoma"/>
            <family val="2"/>
          </rPr>
          <t xml:space="preserve">
Para comprar fertilizante para la finca municipal</t>
        </r>
      </text>
    </comment>
    <comment ref="AK27" authorId="1" shapeId="0">
      <text>
        <r>
          <rPr>
            <b/>
            <sz val="8"/>
            <color indexed="81"/>
            <rFont val="Tahoma"/>
            <family val="2"/>
          </rPr>
          <t>DAGOBERTO:</t>
        </r>
        <r>
          <rPr>
            <sz val="8"/>
            <color indexed="81"/>
            <rFont val="Tahoma"/>
            <family val="2"/>
          </rPr>
          <t xml:space="preserve">
Para fertilizante de la cancha el bambu</t>
        </r>
      </text>
    </comment>
    <comment ref="AK30" authorId="1" shapeId="0">
      <text>
        <r>
          <rPr>
            <b/>
            <sz val="8"/>
            <color indexed="81"/>
            <rFont val="Tahoma"/>
            <family val="2"/>
          </rPr>
          <t>DAGOBERTO:</t>
        </r>
        <r>
          <rPr>
            <sz val="8"/>
            <color indexed="81"/>
            <rFont val="Tahoma"/>
            <family val="2"/>
          </rPr>
          <t xml:space="preserve">
Combustble para camion recolector, para Ambulancia 
 Unidad de Salud 
cancha el bambu</t>
        </r>
      </text>
    </comment>
    <comment ref="AK35" authorId="1" shapeId="0">
      <text>
        <r>
          <rPr>
            <b/>
            <sz val="8"/>
            <color indexed="81"/>
            <rFont val="Tahoma"/>
            <family val="2"/>
          </rPr>
          <t>DAGOBERTO:</t>
        </r>
        <r>
          <rPr>
            <sz val="8"/>
            <color indexed="81"/>
            <rFont val="Tahoma"/>
            <family val="2"/>
          </rPr>
          <t xml:space="preserve">
Municion para los mismos.</t>
        </r>
      </text>
    </comment>
    <comment ref="AC37" authorId="0" shapeId="0">
      <text>
        <r>
          <rPr>
            <b/>
            <sz val="9"/>
            <color indexed="81"/>
            <rFont val="Tahoma"/>
            <family val="2"/>
          </rPr>
          <t>USER:</t>
        </r>
        <r>
          <rPr>
            <sz val="9"/>
            <color indexed="81"/>
            <rFont val="Tahoma"/>
            <family val="2"/>
          </rPr>
          <t xml:space="preserve">
compra de materiales electricos para mantenimiento de alumbrado publico </t>
        </r>
      </text>
    </comment>
    <comment ref="AH37" authorId="1" shapeId="0">
      <text>
        <r>
          <rPr>
            <b/>
            <sz val="8"/>
            <color indexed="81"/>
            <rFont val="Tahoma"/>
            <family val="2"/>
          </rPr>
          <t>DAGOBERTO:</t>
        </r>
        <r>
          <rPr>
            <sz val="8"/>
            <color indexed="81"/>
            <rFont val="Tahoma"/>
            <family val="2"/>
          </rPr>
          <t xml:space="preserve">
Compra de materiales electricos para alumbrado publico en zonas estrategicas para la seguridad  ciudadana</t>
        </r>
      </text>
    </comment>
    <comment ref="AE38" authorId="0" shapeId="0">
      <text>
        <r>
          <rPr>
            <b/>
            <sz val="9"/>
            <color indexed="81"/>
            <rFont val="Tahoma"/>
            <family val="2"/>
          </rPr>
          <t>USER:</t>
        </r>
        <r>
          <rPr>
            <sz val="9"/>
            <color indexed="81"/>
            <rFont val="Tahoma"/>
            <family val="2"/>
          </rPr>
          <t xml:space="preserve">
especies donde van carnet, formulas Isam y otras </t>
        </r>
      </text>
    </comment>
    <comment ref="AK40" authorId="1" shapeId="0">
      <text>
        <r>
          <rPr>
            <b/>
            <sz val="8"/>
            <color indexed="81"/>
            <rFont val="Tahoma"/>
            <family val="2"/>
          </rPr>
          <t>DAGOBERTO:</t>
        </r>
        <r>
          <rPr>
            <sz val="8"/>
            <color indexed="81"/>
            <rFont val="Tahoma"/>
            <family val="2"/>
          </rPr>
          <t xml:space="preserve">
Energia Electrica para Alumbrado Publico
y de la cancha el bambu</t>
        </r>
      </text>
    </comment>
    <comment ref="AK41" authorId="1" shapeId="0">
      <text>
        <r>
          <rPr>
            <b/>
            <sz val="8"/>
            <color indexed="81"/>
            <rFont val="Tahoma"/>
            <family val="2"/>
          </rPr>
          <t>DAGOBERTO:</t>
        </r>
        <r>
          <rPr>
            <sz val="8"/>
            <color indexed="81"/>
            <rFont val="Tahoma"/>
            <family val="2"/>
          </rPr>
          <t xml:space="preserve">
Pago agua  de Cancha el Bambu 
</t>
        </r>
      </text>
    </comment>
    <comment ref="AK42" authorId="1" shapeId="0">
      <text>
        <r>
          <rPr>
            <b/>
            <sz val="8"/>
            <color indexed="81"/>
            <rFont val="Tahoma"/>
            <family val="2"/>
          </rPr>
          <t>DAGOBERTO:</t>
        </r>
        <r>
          <rPr>
            <sz val="8"/>
            <color indexed="81"/>
            <rFont val="Tahoma"/>
            <family val="2"/>
          </rPr>
          <t xml:space="preserve">
Internet de Casa de Encuentro</t>
        </r>
      </text>
    </comment>
    <comment ref="AK45" authorId="1" shapeId="0">
      <text>
        <r>
          <rPr>
            <b/>
            <sz val="8"/>
            <color indexed="81"/>
            <rFont val="Tahoma"/>
            <family val="2"/>
          </rPr>
          <t>DAGOBERTO:</t>
        </r>
        <r>
          <rPr>
            <sz val="8"/>
            <color indexed="81"/>
            <rFont val="Tahoma"/>
            <family val="2"/>
          </rPr>
          <t xml:space="preserve">
Para mantenimiento de equipos informaticos en  Casa de Encuentro </t>
        </r>
      </text>
    </comment>
    <comment ref="AK46" authorId="1" shapeId="0">
      <text>
        <r>
          <rPr>
            <b/>
            <sz val="8"/>
            <color indexed="81"/>
            <rFont val="Tahoma"/>
            <family val="2"/>
          </rPr>
          <t>DAGOBERTO:</t>
        </r>
        <r>
          <rPr>
            <sz val="8"/>
            <color indexed="81"/>
            <rFont val="Tahoma"/>
            <family val="2"/>
          </rPr>
          <t xml:space="preserve">
Mantenimiento de Camion recolector
ambulancia 
policia</t>
        </r>
      </text>
    </comment>
    <comment ref="AC47" authorId="0" shapeId="0">
      <text>
        <r>
          <rPr>
            <b/>
            <sz val="9"/>
            <color indexed="81"/>
            <rFont val="Tahoma"/>
            <family val="2"/>
          </rPr>
          <t>USER:</t>
        </r>
        <r>
          <rPr>
            <sz val="9"/>
            <color indexed="81"/>
            <rFont val="Tahoma"/>
            <family val="2"/>
          </rPr>
          <t xml:space="preserve">
mantenimiento de bienes muebles como alumbrado publico, reparacion de cañerias las flores, taquillo, corinto y otras</t>
        </r>
      </text>
    </comment>
    <comment ref="AK47" authorId="2" shapeId="0">
      <text>
        <r>
          <rPr>
            <b/>
            <sz val="9"/>
            <color indexed="81"/>
            <rFont val="Tahoma"/>
            <family val="2"/>
          </rPr>
          <t>Chiltuipan:</t>
        </r>
        <r>
          <rPr>
            <sz val="9"/>
            <color indexed="81"/>
            <rFont val="Tahoma"/>
            <family val="2"/>
          </rPr>
          <t xml:space="preserve">
 mantenimiento de agua potable, corinto, taquillo,las flores y siberia 
los tres miradores </t>
        </r>
      </text>
    </comment>
    <comment ref="AK50" authorId="2" shapeId="0">
      <text>
        <r>
          <rPr>
            <b/>
            <sz val="9"/>
            <color indexed="81"/>
            <rFont val="Tahoma"/>
            <family val="2"/>
          </rPr>
          <t>Chiltuipan:</t>
        </r>
        <r>
          <rPr>
            <sz val="9"/>
            <color indexed="81"/>
            <rFont val="Tahoma"/>
            <family val="2"/>
          </rPr>
          <t xml:space="preserve">
IMPRECIONES DE BLOCCHUR, BANER, PUBLICACIONES, DE TURISMO</t>
        </r>
      </text>
    </comment>
    <comment ref="Z51" authorId="0" shapeId="0">
      <text>
        <r>
          <rPr>
            <b/>
            <sz val="9"/>
            <color indexed="81"/>
            <rFont val="Tahoma"/>
            <family val="2"/>
          </rPr>
          <t>USER:</t>
        </r>
        <r>
          <rPr>
            <sz val="9"/>
            <color indexed="81"/>
            <rFont val="Tahoma"/>
            <family val="2"/>
          </rPr>
          <t xml:space="preserve">
dia del empleado municipal 
convivio con otras instituciones </t>
        </r>
      </text>
    </comment>
    <comment ref="AD51" authorId="1" shapeId="0">
      <text>
        <r>
          <rPr>
            <b/>
            <sz val="8"/>
            <color indexed="81"/>
            <rFont val="Tahoma"/>
            <family val="2"/>
          </rPr>
          <t>DAGOBERTO:</t>
        </r>
        <r>
          <rPr>
            <sz val="8"/>
            <color indexed="81"/>
            <rFont val="Tahoma"/>
            <family val="2"/>
          </rPr>
          <t xml:space="preserve">
pago de atenciones a alcaldes del CDA, cuando es reunion local</t>
        </r>
      </text>
    </comment>
    <comment ref="AK51" authorId="2" shapeId="0">
      <text>
        <r>
          <rPr>
            <b/>
            <sz val="9"/>
            <color indexed="81"/>
            <rFont val="Tahoma"/>
            <family val="2"/>
          </rPr>
          <t>Chiltuipan:</t>
        </r>
        <r>
          <rPr>
            <sz val="9"/>
            <color indexed="81"/>
            <rFont val="Tahoma"/>
            <family val="2"/>
          </rPr>
          <t xml:space="preserve">
pago de basura al puerto de la libertad</t>
        </r>
      </text>
    </comment>
    <comment ref="Z52" authorId="2" shapeId="0">
      <text>
        <r>
          <rPr>
            <b/>
            <sz val="9"/>
            <color indexed="81"/>
            <rFont val="Tahoma"/>
            <family val="2"/>
          </rPr>
          <t>Chiltuipan:</t>
        </r>
        <r>
          <rPr>
            <sz val="9"/>
            <color indexed="81"/>
            <rFont val="Tahoma"/>
            <family val="2"/>
          </rPr>
          <t xml:space="preserve">
ESTA PARTIDA ES PARA PAGAR ALGUNA GRUA PARA PODER REMOLCAR ALGUN VEHICULO </t>
        </r>
      </text>
    </comment>
    <comment ref="AK52" authorId="0" shapeId="0">
      <text>
        <r>
          <rPr>
            <b/>
            <sz val="9"/>
            <color indexed="81"/>
            <rFont val="Tahoma"/>
            <family val="2"/>
          </rPr>
          <t>USER:</t>
        </r>
        <r>
          <rPr>
            <sz val="9"/>
            <color indexed="81"/>
            <rFont val="Tahoma"/>
            <family val="2"/>
          </rPr>
          <t xml:space="preserve">
PARA PAGO DE MAQUINA QUE TRABAJO EN CANCHA TAQUILLO
</t>
        </r>
      </text>
    </comment>
    <comment ref="AO52" authorId="2" shapeId="0">
      <text>
        <r>
          <rPr>
            <b/>
            <sz val="9"/>
            <color indexed="81"/>
            <rFont val="Tahoma"/>
            <family val="2"/>
          </rPr>
          <t>Chiltuipan:</t>
        </r>
        <r>
          <rPr>
            <sz val="9"/>
            <color indexed="81"/>
            <rFont val="Tahoma"/>
            <family val="2"/>
          </rPr>
          <t xml:space="preserve">
para alquilar maquina para las calles de caminos vecinales</t>
        </r>
      </text>
    </comment>
    <comment ref="AK53" authorId="1" shapeId="0">
      <text>
        <r>
          <rPr>
            <b/>
            <sz val="8"/>
            <color indexed="81"/>
            <rFont val="Tahoma"/>
            <family val="2"/>
          </rPr>
          <t>DAGOBERTO:</t>
        </r>
        <r>
          <rPr>
            <sz val="8"/>
            <color indexed="81"/>
            <rFont val="Tahoma"/>
            <family val="2"/>
          </rPr>
          <t xml:space="preserve">
Alquiler local Casa de encuentro Juvenil</t>
        </r>
      </text>
    </comment>
    <comment ref="AO53" authorId="2" shapeId="0">
      <text>
        <r>
          <rPr>
            <b/>
            <sz val="9"/>
            <color indexed="81"/>
            <rFont val="Tahoma"/>
            <family val="2"/>
          </rPr>
          <t>Chiltuipan:</t>
        </r>
        <r>
          <rPr>
            <sz val="9"/>
            <color indexed="81"/>
            <rFont val="Tahoma"/>
            <family val="2"/>
          </rPr>
          <t xml:space="preserve">
pago de alquiler donde dejar herramientas de proyecto</t>
        </r>
      </text>
    </comment>
    <comment ref="Z54" authorId="0" shapeId="0">
      <text>
        <r>
          <rPr>
            <b/>
            <sz val="9"/>
            <color indexed="81"/>
            <rFont val="Tahoma"/>
            <family val="2"/>
          </rPr>
          <t>USER:</t>
        </r>
        <r>
          <rPr>
            <sz val="9"/>
            <color indexed="81"/>
            <rFont val="Tahoma"/>
            <family val="2"/>
          </rPr>
          <t xml:space="preserve">
3- MESES DE PAGO DE CAPSA SOBRE LO QUE ES LA BASURA PORQUE DEL 75% ESTA PRESUPUESTADO HASTA SEPTIEMBRE Y SE PAGARA 3 MESES DE AQUÍ DEL FONDOS PROPIOS. </t>
        </r>
      </text>
    </comment>
    <comment ref="AK54" authorId="1" shapeId="0">
      <text>
        <r>
          <rPr>
            <b/>
            <sz val="8"/>
            <color indexed="81"/>
            <rFont val="Tahoma"/>
            <family val="2"/>
          </rPr>
          <t>DAGOBERTO:</t>
        </r>
        <r>
          <rPr>
            <sz val="8"/>
            <color indexed="81"/>
            <rFont val="Tahoma"/>
            <family val="2"/>
          </rPr>
          <t xml:space="preserve">
DISPOSICION FINAL DE DESECHOS SOLIDOS DE CHILTIUAPAN ( PAGO A   (CAPSA, S.A )</t>
        </r>
      </text>
    </comment>
    <comment ref="AD55" authorId="1" shapeId="0">
      <text>
        <r>
          <rPr>
            <b/>
            <sz val="8"/>
            <color indexed="81"/>
            <rFont val="Tahoma"/>
            <family val="2"/>
          </rPr>
          <t>DAGOBERTO:</t>
        </r>
        <r>
          <rPr>
            <sz val="8"/>
            <color indexed="81"/>
            <rFont val="Tahoma"/>
            <family val="2"/>
          </rPr>
          <t xml:space="preserve">
pago pasajes a personal operativo y para gestion de proyectos</t>
        </r>
      </text>
    </comment>
    <comment ref="AD56" authorId="1" shapeId="0">
      <text>
        <r>
          <rPr>
            <b/>
            <sz val="8"/>
            <color indexed="81"/>
            <rFont val="Tahoma"/>
            <family val="2"/>
          </rPr>
          <t>DAGOBERTO:</t>
        </r>
        <r>
          <rPr>
            <sz val="8"/>
            <color indexed="81"/>
            <rFont val="Tahoma"/>
            <family val="2"/>
          </rPr>
          <t xml:space="preserve">
Viaticos personal opertivo
Viaticos para Gestion de  Proyectos</t>
        </r>
      </text>
    </comment>
    <comment ref="AD62" authorId="1" shapeId="0">
      <text>
        <r>
          <rPr>
            <b/>
            <sz val="8"/>
            <color indexed="81"/>
            <rFont val="Tahoma"/>
            <family val="2"/>
          </rPr>
          <t>DAGOBERTO:</t>
        </r>
        <r>
          <rPr>
            <sz val="8"/>
            <color indexed="81"/>
            <rFont val="Tahoma"/>
            <family val="2"/>
          </rPr>
          <t xml:space="preserve">
,Ordenaza de medio Ambiente, </t>
        </r>
      </text>
    </comment>
    <comment ref="AO62" authorId="2" shapeId="0">
      <text>
        <r>
          <rPr>
            <b/>
            <sz val="9"/>
            <color indexed="81"/>
            <rFont val="Tahoma"/>
            <family val="2"/>
          </rPr>
          <t>Chiltuipan:</t>
        </r>
        <r>
          <rPr>
            <sz val="9"/>
            <color indexed="81"/>
            <rFont val="Tahoma"/>
            <family val="2"/>
          </rPr>
          <t xml:space="preserve">
pago del aquitecto </t>
        </r>
      </text>
    </comment>
    <comment ref="AS67" authorId="1" shapeId="0">
      <text>
        <r>
          <rPr>
            <b/>
            <sz val="8"/>
            <color indexed="81"/>
            <rFont val="Tahoma"/>
            <family val="2"/>
          </rPr>
          <t>DAGOBERTO:</t>
        </r>
        <r>
          <rPr>
            <sz val="8"/>
            <color indexed="81"/>
            <rFont val="Tahoma"/>
            <family val="2"/>
          </rPr>
          <t xml:space="preserve">
PAGO DE COMISION POR PRESTAMOS A ISDEM</t>
        </r>
      </text>
    </comment>
    <comment ref="AS68" authorId="1" shapeId="0">
      <text>
        <r>
          <rPr>
            <b/>
            <sz val="8"/>
            <color indexed="81"/>
            <rFont val="Tahoma"/>
            <family val="2"/>
          </rPr>
          <t>DAGOBERTO:</t>
        </r>
        <r>
          <rPr>
            <sz val="8"/>
            <color indexed="81"/>
            <rFont val="Tahoma"/>
            <family val="2"/>
          </rPr>
          <t xml:space="preserve">
Intereses  por pagar al B.H. por creditos</t>
        </r>
      </text>
    </comment>
    <comment ref="AD72" authorId="0" shapeId="0">
      <text>
        <r>
          <rPr>
            <b/>
            <sz val="9"/>
            <color indexed="81"/>
            <rFont val="Tahoma"/>
            <family val="2"/>
          </rPr>
          <t>USER:</t>
        </r>
        <r>
          <rPr>
            <sz val="9"/>
            <color indexed="81"/>
            <rFont val="Tahoma"/>
            <family val="2"/>
          </rPr>
          <t xml:space="preserve">
certificacion de cheque</t>
        </r>
      </text>
    </comment>
    <comment ref="AD73" authorId="0" shapeId="0">
      <text>
        <r>
          <rPr>
            <b/>
            <sz val="9"/>
            <color indexed="81"/>
            <rFont val="Tahoma"/>
            <family val="2"/>
          </rPr>
          <t>USER:</t>
        </r>
        <r>
          <rPr>
            <sz val="9"/>
            <color indexed="81"/>
            <rFont val="Tahoma"/>
            <family val="2"/>
          </rPr>
          <t xml:space="preserve">
pago para refrenda de tarjeta de vehiculo</t>
        </r>
      </text>
    </comment>
    <comment ref="Z74" authorId="1" shapeId="0">
      <text>
        <r>
          <rPr>
            <b/>
            <sz val="8"/>
            <color indexed="81"/>
            <rFont val="Tahoma"/>
            <family val="2"/>
          </rPr>
          <t>DAGOBERTO:</t>
        </r>
        <r>
          <rPr>
            <sz val="8"/>
            <color indexed="81"/>
            <rFont val="Tahoma"/>
            <family val="2"/>
          </rPr>
          <t xml:space="preserve">
Cuotas de INSAFORP, Concejales y empleados</t>
        </r>
      </text>
    </comment>
    <comment ref="AD74" authorId="1" shapeId="0">
      <text>
        <r>
          <rPr>
            <b/>
            <sz val="8"/>
            <color indexed="81"/>
            <rFont val="Tahoma"/>
            <family val="2"/>
          </rPr>
          <t>DAGOBERTO:</t>
        </r>
        <r>
          <rPr>
            <sz val="8"/>
            <color indexed="81"/>
            <rFont val="Tahoma"/>
            <family val="2"/>
          </rPr>
          <t xml:space="preserve">
Cuota de afiliacion a COMURES $ 14,400.00 ,
   pago al INSAFORP $ 1.459.53
  y  CDA, SON $100, ANUAL $1.200
Y MENBRESIA DE AMUSDELI, $3.600, ANUAL AÑO 2018</t>
        </r>
      </text>
    </comment>
    <comment ref="AK74" authorId="1" shapeId="0">
      <text>
        <r>
          <rPr>
            <b/>
            <sz val="8"/>
            <color indexed="81"/>
            <rFont val="Tahoma"/>
            <family val="2"/>
          </rPr>
          <t>DAGOBERTO:</t>
        </r>
        <r>
          <rPr>
            <sz val="8"/>
            <color indexed="81"/>
            <rFont val="Tahoma"/>
            <family val="2"/>
          </rPr>
          <t xml:space="preserve">
   pago al INSAFORP $ 1.431.63
</t>
        </r>
      </text>
    </comment>
    <comment ref="Z76" authorId="0" shapeId="0">
      <text>
        <r>
          <rPr>
            <b/>
            <sz val="9"/>
            <color indexed="81"/>
            <rFont val="Tahoma"/>
            <family val="2"/>
          </rPr>
          <t>USER:</t>
        </r>
        <r>
          <rPr>
            <sz val="9"/>
            <color indexed="81"/>
            <rFont val="Tahoma"/>
            <family val="2"/>
          </rPr>
          <t xml:space="preserve">
APOYO A PERSONAS DE ESCASOS RECURSOS MEDICOS Y OTRAS </t>
        </r>
      </text>
    </comment>
    <comment ref="AK76" authorId="2" shapeId="0">
      <text>
        <r>
          <rPr>
            <b/>
            <sz val="9"/>
            <color indexed="81"/>
            <rFont val="Tahoma"/>
            <family val="2"/>
          </rPr>
          <t>Chiltuipan:</t>
        </r>
        <r>
          <rPr>
            <sz val="9"/>
            <color indexed="81"/>
            <rFont val="Tahoma"/>
            <family val="2"/>
          </rPr>
          <t xml:space="preserve">
Unidad de la Mujer $ 500.00
 proyectos  diversos 2018 $ 69.300
 fiestas patronales,2018, $ 20.000 
apoyo con materiales electricos a personas de escasos recursos. $4.000
Mitigacion de Daños, y apoyo a personas afectadas por eventos naturales. $10.000
dotacion de laminas para mejoramiento de techos a personas de escasos recursos, $38,000</t>
        </r>
      </text>
    </comment>
    <comment ref="AO76" authorId="2" shapeId="0">
      <text>
        <r>
          <rPr>
            <b/>
            <sz val="9"/>
            <color indexed="81"/>
            <rFont val="Tahoma"/>
            <family val="2"/>
          </rPr>
          <t>Chiltuipan:</t>
        </r>
        <r>
          <rPr>
            <sz val="9"/>
            <color indexed="81"/>
            <rFont val="Tahoma"/>
            <family val="2"/>
          </rPr>
          <t xml:space="preserve">
compra de abono </t>
        </r>
      </text>
    </comment>
    <comment ref="AD79" authorId="0" shapeId="0">
      <text>
        <r>
          <rPr>
            <b/>
            <sz val="9"/>
            <color indexed="81"/>
            <rFont val="Tahoma"/>
            <family val="2"/>
          </rPr>
          <t>USER:</t>
        </r>
        <r>
          <rPr>
            <sz val="9"/>
            <color indexed="81"/>
            <rFont val="Tahoma"/>
            <family val="2"/>
          </rPr>
          <t xml:space="preserve">
ESTA PARTIDA LA HEMOS DEJADO PARA COMPRAR LOS AIRES ACONDICIONADO DE LA COMUNAL </t>
        </r>
      </text>
    </comment>
    <comment ref="AD82" authorId="0" shapeId="0">
      <text>
        <r>
          <rPr>
            <b/>
            <sz val="9"/>
            <color indexed="81"/>
            <rFont val="Tahoma"/>
            <family val="2"/>
          </rPr>
          <t>USER:</t>
        </r>
        <r>
          <rPr>
            <sz val="9"/>
            <color indexed="81"/>
            <rFont val="Tahoma"/>
            <family val="2"/>
          </rPr>
          <t xml:space="preserve">
PARA COMPRA DE CORTINAS DE LA CASA COMUNAL </t>
        </r>
      </text>
    </comment>
    <comment ref="AK83" authorId="1" shapeId="0">
      <text>
        <r>
          <rPr>
            <b/>
            <sz val="8"/>
            <color indexed="81"/>
            <rFont val="Tahoma"/>
            <family val="2"/>
          </rPr>
          <t>DAGOBERTO:</t>
        </r>
        <r>
          <rPr>
            <sz val="8"/>
            <color indexed="81"/>
            <rFont val="Tahoma"/>
            <family val="2"/>
          </rPr>
          <t xml:space="preserve">
Compra de terreno , para Casa  Comunal en Caserio El Progreso Cuervo Arriba .</t>
        </r>
      </text>
    </comment>
    <comment ref="AD84" authorId="0" shapeId="0">
      <text>
        <r>
          <rPr>
            <b/>
            <sz val="9"/>
            <color indexed="81"/>
            <rFont val="Tahoma"/>
            <family val="2"/>
          </rPr>
          <t>USER:</t>
        </r>
        <r>
          <rPr>
            <sz val="9"/>
            <color indexed="81"/>
            <rFont val="Tahoma"/>
            <family val="2"/>
          </rPr>
          <t xml:space="preserve">
compra para licencia de computadora
Mejoramiento del sistema catastral</t>
        </r>
      </text>
    </comment>
    <comment ref="AH85" authorId="1" shapeId="0">
      <text>
        <r>
          <rPr>
            <b/>
            <sz val="8"/>
            <color indexed="81"/>
            <rFont val="Tahoma"/>
            <family val="2"/>
          </rPr>
          <t>DAGOBERTO:</t>
        </r>
        <r>
          <rPr>
            <sz val="8"/>
            <color indexed="81"/>
            <rFont val="Tahoma"/>
            <family val="2"/>
          </rPr>
          <t xml:space="preserve">
pago de Carpetas tecnicas</t>
        </r>
      </text>
    </comment>
    <comment ref="AO85" authorId="1" shapeId="0">
      <text>
        <r>
          <rPr>
            <b/>
            <sz val="8"/>
            <color indexed="81"/>
            <rFont val="Tahoma"/>
            <family val="2"/>
          </rPr>
          <t>DAGOBERTO:</t>
        </r>
        <r>
          <rPr>
            <sz val="8"/>
            <color indexed="81"/>
            <rFont val="Tahoma"/>
            <family val="2"/>
          </rPr>
          <t xml:space="preserve">
pago de formulacion de carpetas tecnicas</t>
        </r>
      </text>
    </comment>
    <comment ref="AO86" authorId="2" shapeId="0">
      <text>
        <r>
          <rPr>
            <b/>
            <sz val="9"/>
            <color indexed="81"/>
            <rFont val="Tahoma"/>
            <family val="2"/>
          </rPr>
          <t>Chiltuipan:</t>
        </r>
        <r>
          <rPr>
            <sz val="9"/>
            <color indexed="81"/>
            <rFont val="Tahoma"/>
            <family val="2"/>
          </rPr>
          <t xml:space="preserve">
ampliacion de puente santa marta $14,229-03
mejoramiento y balastado cton siberia sur y norte $30,000</t>
        </r>
      </text>
    </comment>
    <comment ref="AR86" authorId="1" shapeId="0">
      <text>
        <r>
          <rPr>
            <b/>
            <sz val="8"/>
            <color indexed="81"/>
            <rFont val="Tahoma"/>
            <family val="2"/>
          </rPr>
          <t>DAGOBERTO:</t>
        </r>
        <r>
          <rPr>
            <sz val="8"/>
            <color indexed="81"/>
            <rFont val="Tahoma"/>
            <family val="2"/>
          </rPr>
          <t xml:space="preserve">
SOLO ESPERAMOS QUE DESCONGELEN ESTOS FONDOS,</t>
        </r>
      </text>
    </comment>
    <comment ref="AH88" authorId="1" shapeId="0">
      <text>
        <r>
          <rPr>
            <b/>
            <sz val="8"/>
            <color indexed="81"/>
            <rFont val="Tahoma"/>
            <family val="2"/>
          </rPr>
          <t>DAGOBERTO:</t>
        </r>
        <r>
          <rPr>
            <sz val="8"/>
            <color indexed="81"/>
            <rFont val="Tahoma"/>
            <family val="2"/>
          </rPr>
          <t xml:space="preserve">
CONVENIO CON 4 ESCUELAS ADARLE UNA CONTRAPARTE, Y LA CANCHA DE JU LUPE</t>
        </r>
      </text>
    </comment>
    <comment ref="AJ88" authorId="0" shapeId="0">
      <text>
        <r>
          <rPr>
            <b/>
            <sz val="9"/>
            <color indexed="81"/>
            <rFont val="Tahoma"/>
            <family val="2"/>
          </rPr>
          <t>USER:</t>
        </r>
        <r>
          <rPr>
            <sz val="9"/>
            <color indexed="81"/>
            <rFont val="Tahoma"/>
            <family val="2"/>
          </rPr>
          <t xml:space="preserve">
30.000, QUE DIO EL MINISTERIO DE HACIENDA PARA HACER UN PARQUE EN EL ZONTE</t>
        </r>
      </text>
    </comment>
    <comment ref="AH93" authorId="1" shapeId="0">
      <text>
        <r>
          <rPr>
            <b/>
            <sz val="8"/>
            <color indexed="81"/>
            <rFont val="Tahoma"/>
            <family val="2"/>
          </rPr>
          <t>DAGOBERTO:</t>
        </r>
        <r>
          <rPr>
            <sz val="8"/>
            <color indexed="81"/>
            <rFont val="Tahoma"/>
            <family val="2"/>
          </rPr>
          <t xml:space="preserve">
Contrapartida a ANDA, para introducir agua potable a El balsamo y las Pacayas</t>
        </r>
      </text>
    </comment>
    <comment ref="AD95" authorId="0" shapeId="0">
      <text>
        <r>
          <rPr>
            <b/>
            <sz val="9"/>
            <color indexed="81"/>
            <rFont val="Tahoma"/>
            <family val="2"/>
          </rPr>
          <t>USER:</t>
        </r>
        <r>
          <rPr>
            <sz val="9"/>
            <color indexed="81"/>
            <rFont val="Tahoma"/>
            <family val="2"/>
          </rPr>
          <t xml:space="preserve">
CUOTA DE MENBRESIA DE AMUSDELI  DE AÑOS ANTERIORES, NOV, Y DIC, 2013 ASTA 2017
pago de facturas de año 2017 por pagar $4.672.17
</t>
        </r>
      </text>
    </comment>
    <comment ref="AH95" authorId="2" shapeId="0">
      <text>
        <r>
          <rPr>
            <b/>
            <sz val="9"/>
            <color indexed="81"/>
            <rFont val="Tahoma"/>
            <family val="2"/>
          </rPr>
          <t>Chiltuipan:</t>
        </r>
        <r>
          <rPr>
            <sz val="9"/>
            <color indexed="81"/>
            <rFont val="Tahoma"/>
            <family val="2"/>
          </rPr>
          <t xml:space="preserve">
saldo de proyectos anteriores de la G3- 03-01</t>
        </r>
      </text>
    </comment>
    <comment ref="AO95" authorId="2" shapeId="0">
      <text>
        <r>
          <rPr>
            <b/>
            <sz val="9"/>
            <color indexed="81"/>
            <rFont val="Tahoma"/>
            <family val="2"/>
          </rPr>
          <t>Chiltuipan:</t>
        </r>
        <r>
          <rPr>
            <sz val="9"/>
            <color indexed="81"/>
            <rFont val="Tahoma"/>
            <family val="2"/>
          </rPr>
          <t xml:space="preserve">
SALDO DE PROYECTOS ANTERIORES DE LA G4, 04-01</t>
        </r>
      </text>
    </comment>
  </commentList>
</comments>
</file>

<file path=xl/comments5.xml><?xml version="1.0" encoding="utf-8"?>
<comments xmlns="http://schemas.openxmlformats.org/spreadsheetml/2006/main">
  <authors>
    <author>USER</author>
  </authors>
  <commentList>
    <comment ref="J34" authorId="0" shapeId="0">
      <text>
        <r>
          <rPr>
            <b/>
            <sz val="9"/>
            <color indexed="81"/>
            <rFont val="Tahoma"/>
            <family val="2"/>
          </rPr>
          <t>USER:</t>
        </r>
        <r>
          <rPr>
            <sz val="9"/>
            <color indexed="81"/>
            <rFont val="Tahoma"/>
            <family val="2"/>
          </rPr>
          <t xml:space="preserve">
2.000, DOLARES PARA para limpieza y chapeo de los cementerio de chiltiupan Siberia y julupe</t>
        </r>
      </text>
    </comment>
  </commentList>
</comments>
</file>

<file path=xl/comments6.xml><?xml version="1.0" encoding="utf-8"?>
<comments xmlns="http://schemas.openxmlformats.org/spreadsheetml/2006/main">
  <authors>
    <author>USER</author>
  </authors>
  <commentList>
    <comment ref="H28" authorId="0" shapeId="0">
      <text>
        <r>
          <rPr>
            <b/>
            <sz val="9"/>
            <color indexed="81"/>
            <rFont val="Tahoma"/>
            <family val="2"/>
          </rPr>
          <t>USER:</t>
        </r>
        <r>
          <rPr>
            <sz val="9"/>
            <color indexed="81"/>
            <rFont val="Tahoma"/>
            <family val="2"/>
          </rPr>
          <t xml:space="preserve">
PARA PAGO DE BASURA SI EN EL AÑO 2019 YA NO DAN PROLOGA A SO SE  DEJA PRESUPUESTADO LO DE  3 MESES DEL AÑO 2019 </t>
        </r>
      </text>
    </comment>
  </commentList>
</comments>
</file>

<file path=xl/comments7.xml><?xml version="1.0" encoding="utf-8"?>
<comments xmlns="http://schemas.openxmlformats.org/spreadsheetml/2006/main">
  <authors>
    <author>USER</author>
  </authors>
  <commentList>
    <comment ref="H50" authorId="0" shapeId="0">
      <text>
        <r>
          <rPr>
            <b/>
            <sz val="9"/>
            <color indexed="81"/>
            <rFont val="Tahoma"/>
            <family val="2"/>
          </rPr>
          <t>USER:</t>
        </r>
        <r>
          <rPr>
            <sz val="9"/>
            <color indexed="81"/>
            <rFont val="Tahoma"/>
            <family val="2"/>
          </rPr>
          <t xml:space="preserve">
MENBRESIA DE AMUSDELI, $3.600, ANUAL AÑO 2020</t>
        </r>
      </text>
    </comment>
  </commentList>
</comments>
</file>

<file path=xl/comments8.xml><?xml version="1.0" encoding="utf-8"?>
<comments xmlns="http://schemas.openxmlformats.org/spreadsheetml/2006/main">
  <authors>
    <author>USER</author>
  </authors>
  <commentList>
    <comment ref="H10" authorId="0" shapeId="0">
      <text>
        <r>
          <rPr>
            <b/>
            <sz val="9"/>
            <color indexed="81"/>
            <rFont val="Tahoma"/>
            <family val="2"/>
          </rPr>
          <t>USER:</t>
        </r>
        <r>
          <rPr>
            <sz val="9"/>
            <color indexed="81"/>
            <rFont val="Tahoma"/>
            <family val="2"/>
          </rPr>
          <t xml:space="preserve">
AQUÍ AGREGUE EL SOBRANTE DE CAMINOS VECINALES 2018 QUE SON $6.380.34</t>
        </r>
      </text>
    </comment>
    <comment ref="H11" authorId="0" shapeId="0">
      <text>
        <r>
          <rPr>
            <b/>
            <sz val="9"/>
            <color indexed="81"/>
            <rFont val="Tahoma"/>
            <family val="2"/>
          </rPr>
          <t>USER:</t>
        </r>
        <r>
          <rPr>
            <sz val="9"/>
            <color indexed="81"/>
            <rFont val="Tahoma"/>
            <family val="2"/>
          </rPr>
          <t xml:space="preserve">
para proyecto concreteado pasaje la ronda vides</t>
        </r>
      </text>
    </comment>
    <comment ref="H25" authorId="0" shapeId="0">
      <text>
        <r>
          <rPr>
            <b/>
            <sz val="9"/>
            <color indexed="81"/>
            <rFont val="Tahoma"/>
            <family val="2"/>
          </rPr>
          <t>USER:</t>
        </r>
        <r>
          <rPr>
            <sz val="9"/>
            <color indexed="81"/>
            <rFont val="Tahoma"/>
            <family val="2"/>
          </rPr>
          <t xml:space="preserve">
PAGO DE ALQUILER DE LA MAQUINA PARA AREGLAR LAS CALLES </t>
        </r>
      </text>
    </comment>
    <comment ref="H27" authorId="0" shapeId="0">
      <text>
        <r>
          <rPr>
            <b/>
            <sz val="9"/>
            <color indexed="81"/>
            <rFont val="Tahoma"/>
            <family val="2"/>
          </rPr>
          <t>USER:</t>
        </r>
        <r>
          <rPr>
            <sz val="9"/>
            <color indexed="81"/>
            <rFont val="Tahoma"/>
            <family val="2"/>
          </rPr>
          <t xml:space="preserve">
para  pago del arquitecto 5% fodes
</t>
        </r>
      </text>
    </comment>
    <comment ref="H28" authorId="0" shapeId="0">
      <text>
        <r>
          <rPr>
            <b/>
            <sz val="9"/>
            <color indexed="81"/>
            <rFont val="Tahoma"/>
            <family val="2"/>
          </rPr>
          <t>USER:</t>
        </r>
        <r>
          <rPr>
            <sz val="9"/>
            <color indexed="81"/>
            <rFont val="Tahoma"/>
            <family val="2"/>
          </rPr>
          <t xml:space="preserve">
LAS COLAS DE LOS PROYECTOS 0401
mejoramiento de calle internas en canton el zonte$60.000
concreteado de calle la ronda poniente barrio santo domingo$20.000
concreteado de calle hacia la cooperativa las termopilas $15.000
Mejoramiento de calle principal canton el regadillo $31.614.95
mejoramiento de calle los pajales canton julupe $20.000
mejoramiento de calle a caserio rio mar canton taquillo $20.000
FORTALECIMIENTO A LA PRODUCTIVIDAD AGRICOLA $120.000</t>
        </r>
      </text>
    </comment>
    <comment ref="H29" authorId="0" shapeId="0">
      <text>
        <r>
          <rPr>
            <b/>
            <sz val="9"/>
            <color indexed="81"/>
            <rFont val="Tahoma"/>
            <family val="2"/>
          </rPr>
          <t>USER:</t>
        </r>
        <r>
          <rPr>
            <sz val="9"/>
            <color indexed="81"/>
            <rFont val="Tahoma"/>
            <family val="2"/>
          </rPr>
          <t xml:space="preserve">
para pago de carpetas 
</t>
        </r>
      </text>
    </comment>
  </commentList>
</comments>
</file>

<file path=xl/comments9.xml><?xml version="1.0" encoding="utf-8"?>
<comments xmlns="http://schemas.openxmlformats.org/spreadsheetml/2006/main">
  <authors>
    <author>USER</author>
    <author>win10</author>
  </authors>
  <commentList>
    <comment ref="H17" authorId="0" shapeId="0">
      <text>
        <r>
          <rPr>
            <b/>
            <sz val="9"/>
            <color indexed="81"/>
            <rFont val="Tahoma"/>
            <family val="2"/>
          </rPr>
          <t>USER:</t>
        </r>
        <r>
          <rPr>
            <sz val="9"/>
            <color indexed="81"/>
            <rFont val="Tahoma"/>
            <family val="2"/>
          </rPr>
          <t xml:space="preserve">
PAGO DE ALQUILER DE LA MAQUINA PARA AREGLAR LAS CALLES </t>
        </r>
      </text>
    </comment>
    <comment ref="H19" authorId="0" shapeId="0">
      <text>
        <r>
          <rPr>
            <b/>
            <sz val="9"/>
            <color indexed="81"/>
            <rFont val="Tahoma"/>
            <family val="2"/>
          </rPr>
          <t>USER:</t>
        </r>
        <r>
          <rPr>
            <sz val="9"/>
            <color indexed="81"/>
            <rFont val="Tahoma"/>
            <family val="2"/>
          </rPr>
          <t xml:space="preserve">
para  pago del arquitecto 5% fodes
</t>
        </r>
      </text>
    </comment>
    <comment ref="H20" authorId="0" shapeId="0">
      <text>
        <r>
          <rPr>
            <b/>
            <sz val="9"/>
            <color indexed="81"/>
            <rFont val="Tahoma"/>
            <family val="2"/>
          </rPr>
          <t>USER:</t>
        </r>
        <r>
          <rPr>
            <sz val="9"/>
            <color indexed="81"/>
            <rFont val="Tahoma"/>
            <family val="2"/>
          </rPr>
          <t xml:space="preserve">
LAS COLAS DE LOS PROYECTOS 0401
</t>
        </r>
      </text>
    </comment>
    <comment ref="H21" authorId="0" shapeId="0">
      <text>
        <r>
          <rPr>
            <b/>
            <sz val="9"/>
            <color indexed="81"/>
            <rFont val="Tahoma"/>
            <family val="2"/>
          </rPr>
          <t>USER:</t>
        </r>
        <r>
          <rPr>
            <sz val="9"/>
            <color indexed="81"/>
            <rFont val="Tahoma"/>
            <family val="2"/>
          </rPr>
          <t xml:space="preserve">
para pago de carpetas 
</t>
        </r>
      </text>
    </comment>
    <comment ref="H23" authorId="1" shapeId="0">
      <text>
        <r>
          <rPr>
            <b/>
            <sz val="9"/>
            <color indexed="81"/>
            <rFont val="Tahoma"/>
            <family val="2"/>
          </rPr>
          <t>win10:</t>
        </r>
        <r>
          <rPr>
            <sz val="9"/>
            <color indexed="81"/>
            <rFont val="Tahoma"/>
            <family val="2"/>
          </rPr>
          <t xml:space="preserve">
en este codigo VIAL van lo de dos proyectos 
Mejoramiento de calle caserio el Mollejo canton taquillo $20.000
Mejoramiento de calle caserio taquillito canton santa marta $20.000</t>
        </r>
      </text>
    </comment>
    <comment ref="H24" authorId="1" shapeId="0">
      <text>
        <r>
          <rPr>
            <b/>
            <sz val="9"/>
            <color indexed="81"/>
            <rFont val="Tahoma"/>
            <family val="2"/>
          </rPr>
          <t>win10:</t>
        </r>
        <r>
          <rPr>
            <sz val="9"/>
            <color indexed="81"/>
            <rFont val="Tahoma"/>
            <family val="2"/>
          </rPr>
          <t xml:space="preserve">
aquí va el sobrante del proy, introduccion de agua potable el regadillo</t>
        </r>
      </text>
    </comment>
    <comment ref="H25" authorId="1" shapeId="0">
      <text>
        <r>
          <rPr>
            <b/>
            <sz val="9"/>
            <color indexed="81"/>
            <rFont val="Tahoma"/>
            <family val="2"/>
          </rPr>
          <t>win10:</t>
        </r>
        <r>
          <rPr>
            <sz val="9"/>
            <color indexed="81"/>
            <rFont val="Tahoma"/>
            <family val="2"/>
          </rPr>
          <t xml:space="preserve">
aquí va el sobrante del proy, y el sobrandte de 9,204.63 para poder cuadrar 
</t>
        </r>
      </text>
    </comment>
  </commentList>
</comments>
</file>

<file path=xl/sharedStrings.xml><?xml version="1.0" encoding="utf-8"?>
<sst xmlns="http://schemas.openxmlformats.org/spreadsheetml/2006/main" count="3462" uniqueCount="1100">
  <si>
    <t>De los Nombramientos y Licencias.</t>
  </si>
  <si>
    <t>ALCALDE MUNICIPAL</t>
  </si>
  <si>
    <t xml:space="preserve"> TERCER REGIDOR</t>
  </si>
  <si>
    <t>QUINTO REGIDOR</t>
  </si>
  <si>
    <t>SEXTO REGIDOR</t>
  </si>
  <si>
    <t xml:space="preserve"> PRIMER REGIDOR SUPLENTE</t>
  </si>
  <si>
    <t>TERCER REGIDOR SUPLENTE</t>
  </si>
  <si>
    <t xml:space="preserve">          CUARTO REGIDOR SUPLENTE</t>
  </si>
  <si>
    <t>ESTRUCTURA PRESUPUESTARIA</t>
  </si>
  <si>
    <t>(En Dolares de los Estados Unidos de America)</t>
  </si>
  <si>
    <t>FORMULACION DEL PRESUPUESTO MUNICIPAL DE EGRESOS</t>
  </si>
  <si>
    <t>(En Dolares de los Estados Unidos de América)</t>
  </si>
  <si>
    <t>DETALLE CONSOLIDADO DE EGRESOS POR ESPECIFICO Y ESTRUCTURA PRESUPUESTARIA</t>
  </si>
  <si>
    <t>(1) Objeto Específico</t>
  </si>
  <si>
    <t>(4) TOTAL</t>
  </si>
  <si>
    <t>(5)TOTAL EGRESOS</t>
  </si>
  <si>
    <t>(1) Area de Gestión</t>
  </si>
  <si>
    <t>(3) Linea de Trabajo</t>
  </si>
  <si>
    <t>(5) Subfuente de Financiamiento</t>
  </si>
  <si>
    <t>(6) Objeto Específico</t>
  </si>
  <si>
    <t>(7) DENOMINACIÓN</t>
  </si>
  <si>
    <t>(4) Fuente de Financiamiento</t>
  </si>
  <si>
    <t>TOTAL INVERSION  F.O.D.E.S 75 %</t>
  </si>
  <si>
    <t>PRESUPUESTO MUNICIPAL DE FUNCIONAMIENTO POR ESTRUCTURA PRESUPUESTARIA</t>
  </si>
  <si>
    <t>DETALLE CONSOLIDADO DE INGRESOS POR ESPECIFICO Y FUENTE DE FINANCIAMIENTO</t>
  </si>
  <si>
    <t>PRESUPUESTO MUNICIPAL DE INVERSION POR ESTRUCTURA PRESUPUESTARIA</t>
  </si>
  <si>
    <t>PRESUPUESTO MUNICIPAL DEL SERVICIO DE LA DEUDA POR ESTRUCTURA PRESUPUESTARIA</t>
  </si>
  <si>
    <t>(8) MONTO</t>
  </si>
  <si>
    <t>Alumbrado Público</t>
  </si>
  <si>
    <t>Permisos y Licencias Municipales</t>
  </si>
  <si>
    <t>Cotejo de Fierros</t>
  </si>
  <si>
    <t>51101</t>
  </si>
  <si>
    <t>Sueldos</t>
  </si>
  <si>
    <t>01</t>
  </si>
  <si>
    <t>2</t>
  </si>
  <si>
    <t>02</t>
  </si>
  <si>
    <t>1</t>
  </si>
  <si>
    <t>111</t>
  </si>
  <si>
    <t>HORAS  EXTRAORDINARIAS</t>
  </si>
  <si>
    <t>000</t>
  </si>
  <si>
    <t>05</t>
  </si>
  <si>
    <t>04</t>
  </si>
  <si>
    <t>Comercio</t>
  </si>
  <si>
    <t>Industria</t>
  </si>
  <si>
    <t>Servicios</t>
  </si>
  <si>
    <t>Bares y Restaurantes</t>
  </si>
  <si>
    <t>Transportes</t>
  </si>
  <si>
    <t>Impuestos Municipales Diversos</t>
  </si>
  <si>
    <t>Servicios de Certificación</t>
  </si>
  <si>
    <t>Cementerios Municipales</t>
  </si>
  <si>
    <t>Desechos</t>
  </si>
  <si>
    <t>Fiestas</t>
  </si>
  <si>
    <t>Mercados</t>
  </si>
  <si>
    <t>Pavimentación</t>
  </si>
  <si>
    <t>Postes, Torres y Antenas</t>
  </si>
  <si>
    <t>Rastro y Tiangue</t>
  </si>
  <si>
    <t>Tasas Diversas</t>
  </si>
  <si>
    <t>Derechos Diversos</t>
  </si>
  <si>
    <t>Servicios diversos</t>
  </si>
  <si>
    <t>Multas  por pago de Impuestos</t>
  </si>
  <si>
    <t>Intereses por Mora Impuestos</t>
  </si>
  <si>
    <t>Multas  por Registro Civil</t>
  </si>
  <si>
    <t>Rentabilidad de Ctas.Bancarias</t>
  </si>
  <si>
    <t>Ingresos Diversos</t>
  </si>
  <si>
    <t>Transferencias Corrientes del Sec.Pub</t>
  </si>
  <si>
    <t>Transferencias Corrientes de Cap.Pub</t>
  </si>
  <si>
    <t>Transferencias Ctes .de Cap.Pub FISDL</t>
  </si>
  <si>
    <t>Transferencias Ctes .de Cap.Pub. PFGL</t>
  </si>
  <si>
    <t>Saldo Inicial en Caja</t>
  </si>
  <si>
    <t>Saldo Inicial en Banco</t>
  </si>
  <si>
    <t>Cuentas por cobrar  de  años anteriores</t>
  </si>
  <si>
    <t>De empresas publicas financieras</t>
  </si>
  <si>
    <t>TOTALES</t>
  </si>
  <si>
    <t>55302</t>
  </si>
  <si>
    <t>71304</t>
  </si>
  <si>
    <t>55304</t>
  </si>
  <si>
    <t>De Instituciones Desentralizadas no Empresariales</t>
  </si>
  <si>
    <t>De Empresas Publicas Financieras</t>
  </si>
  <si>
    <t>ALCALDIA MUNICIPAL DE CHILTIUPAN</t>
  </si>
  <si>
    <t>DEPARTAMENTO DE LA LIBERTAD</t>
  </si>
  <si>
    <t>SUELDOS</t>
  </si>
  <si>
    <t>51103</t>
  </si>
  <si>
    <t>AGUINALDOS</t>
  </si>
  <si>
    <t>51105</t>
  </si>
  <si>
    <t>DIETAS</t>
  </si>
  <si>
    <t>SUELDOS POR JORNAL</t>
  </si>
  <si>
    <t>51203</t>
  </si>
  <si>
    <t>HORAS EXTRAORDINARIAS</t>
  </si>
  <si>
    <t>BENEFICIOS EXTRAORDINARIAS</t>
  </si>
  <si>
    <t>51401</t>
  </si>
  <si>
    <t>CONTRIB PAT.INST.SEG.PUB</t>
  </si>
  <si>
    <t>51501</t>
  </si>
  <si>
    <t>CONTRIB PAT.INST.SEG.PRIV.</t>
  </si>
  <si>
    <t>REMUNERACIONES DIVERSAS</t>
  </si>
  <si>
    <t>PASAJES AL INTERIOR</t>
  </si>
  <si>
    <t>VIATICOS AL INTERIOR</t>
  </si>
  <si>
    <t>SERVICIOS JURIDICOS</t>
  </si>
  <si>
    <t>CONSULT., ESTUDIOS  E INVESTIG. DIVIERSAS</t>
  </si>
  <si>
    <t>LIMPIEZA DE  DE CALLES</t>
  </si>
  <si>
    <t>DEPOSITOS DE DESECHOS</t>
  </si>
  <si>
    <t>RECOLECCION DE DESECHOS</t>
  </si>
  <si>
    <t>SERVICIOS DIVERSOS</t>
  </si>
  <si>
    <t>DE INSTITUCIONES DESENTRALIZADAS NO EMPRESARIALES</t>
  </si>
  <si>
    <t>PRIMAS Y GASTOS DE SEGUROS DE BIENES</t>
  </si>
  <si>
    <t>COMISION Y GASTOS BANCARIOS</t>
  </si>
  <si>
    <t>GASTOS DIVERSOS</t>
  </si>
  <si>
    <t>TRANSFERENCIAS CORRIENTES</t>
  </si>
  <si>
    <t>TRANSFERENCIAS CORRIENTES AL SECTOR PUBLICO</t>
  </si>
  <si>
    <t>ORGANISMOS SIN FINES DE LUCRO</t>
  </si>
  <si>
    <t>A PERSONAS NATURALES</t>
  </si>
  <si>
    <t>BECAS</t>
  </si>
  <si>
    <t>61104</t>
  </si>
  <si>
    <t>EQUIPOS INFORMATICOS</t>
  </si>
  <si>
    <t>61199</t>
  </si>
  <si>
    <t>BIENES MUEBLES DIVERSOS</t>
  </si>
  <si>
    <t>61201</t>
  </si>
  <si>
    <t>TERRENOS</t>
  </si>
  <si>
    <t>61403</t>
  </si>
  <si>
    <t>DERECHOS  DE  PROPIEDAD  INTELECTUAL</t>
  </si>
  <si>
    <t>PROYECTOS Y PROGRAMAS DE INVERSION DIVERSA</t>
  </si>
  <si>
    <t>VIALES</t>
  </si>
  <si>
    <t>DE SALUD Y SANEAMIENTO AMBIENTAL</t>
  </si>
  <si>
    <t>DE EDUCACION Y RECREACION</t>
  </si>
  <si>
    <t>ELECTRICAS Y COMUNICACIONES</t>
  </si>
  <si>
    <t>SUPERVISION DE INFRAESTRUCTURAS</t>
  </si>
  <si>
    <t>OBRAS DE INFRAESTRUCTURA DIVERSAS</t>
  </si>
  <si>
    <t>CUENTAS POR PAGAR AÑOS ANTERIORES</t>
  </si>
  <si>
    <t>PRODUCTOS ALIMENTICIOS P/PERSONAS</t>
  </si>
  <si>
    <t>PRODUCTOS AGROPECUARIOS Y FORESTAL</t>
  </si>
  <si>
    <t>PRODUCTOS TEXTILES</t>
  </si>
  <si>
    <t>PRODUCTOS  PAPEL Y CARTON</t>
  </si>
  <si>
    <t>PRODUCTOS QUIMICOS</t>
  </si>
  <si>
    <t>PRODUCTOS FARMACEUTICOS Y MEDICINALES</t>
  </si>
  <si>
    <t>LLANTAS Y NEUMATICOS</t>
  </si>
  <si>
    <t>COMBUSTIBLES Y LUBRICANTES</t>
  </si>
  <si>
    <t>MINERALES NO METALICOS Y PROD.DERIVADOS</t>
  </si>
  <si>
    <t>MINERALES METALICOS Y PRODUCTOS DERV.</t>
  </si>
  <si>
    <t>MATERIALES DE OFICINA</t>
  </si>
  <si>
    <t>MATERIALES INFORMATICOS</t>
  </si>
  <si>
    <t>MATERIALES DE DEFENSA Y SEG.PUBLICA</t>
  </si>
  <si>
    <t>HERRAMIENTAS, REPUESTOS Y ACCESOR.</t>
  </si>
  <si>
    <t>MATERIALES ELECTRICOS</t>
  </si>
  <si>
    <t>ESPECIES MUNICIPALES DIVERSAS</t>
  </si>
  <si>
    <t>BIENES DE USO Y CONSUMO DIVERSO</t>
  </si>
  <si>
    <t>ENERGIA ELECTRICA</t>
  </si>
  <si>
    <t>SERVICIO DE AGUA</t>
  </si>
  <si>
    <t>TELECOMUNICACIONES</t>
  </si>
  <si>
    <t>CORREOS</t>
  </si>
  <si>
    <t>ALUMBRADO PUBLICO</t>
  </si>
  <si>
    <t>MANT.REPARACION BIENES MUEBLES</t>
  </si>
  <si>
    <t>MANT.REPARACION DE VEHICULOS</t>
  </si>
  <si>
    <t>MANT. REPARACION BIENES INMUEBLES</t>
  </si>
  <si>
    <t>TRANSPORTES, FLETES Y ALMACENAMIENTO</t>
  </si>
  <si>
    <t>SERVICIOS DE PUBLICIDAD</t>
  </si>
  <si>
    <t>IMPRESIONES, PUBLICAC. Y REPRODUC.</t>
  </si>
  <si>
    <t>ATENCIONES OFICIALES</t>
  </si>
  <si>
    <t>ARRENDAMIENTO DE BIENES MUEBLES</t>
  </si>
  <si>
    <t>ARRENDAMIENTO DE BIENES INMUEBLES</t>
  </si>
  <si>
    <t>SERVICIOS GENERALES DIVERSOS</t>
  </si>
  <si>
    <t>HONORARIOS</t>
  </si>
  <si>
    <t>TRANSPORTES</t>
  </si>
  <si>
    <t xml:space="preserve">MOBILIARIOS </t>
  </si>
  <si>
    <t>MAQUINARIA Y EQUIPO</t>
  </si>
  <si>
    <t>DERECHOS DE PROPIEDAD INTELECTUAL</t>
  </si>
  <si>
    <t>CUENTAS X PAGAR AÑOS ANTERIORES</t>
  </si>
  <si>
    <t>TOTAL</t>
  </si>
  <si>
    <t>SUB 'TOTAL</t>
  </si>
  <si>
    <t>GRAN TOTAL</t>
  </si>
  <si>
    <t>SERVICIOS DE CONTABILIDAD Y AUDITORIA</t>
  </si>
  <si>
    <t>51207</t>
  </si>
  <si>
    <t>BENEFICIOS ADICIONALES</t>
  </si>
  <si>
    <t>SALARIOS POR JORNAL</t>
  </si>
  <si>
    <t>Sueldos por jornal</t>
  </si>
  <si>
    <t>51202</t>
  </si>
  <si>
    <t xml:space="preserve"> PRESUPUESTO MUNICIPAL DE EGRESOS</t>
  </si>
  <si>
    <t>VIATICOS POR COMISION  EXTERNA</t>
  </si>
  <si>
    <t>PRIMAS Y GASTOS DE SEGUROS DE PERSONAS</t>
  </si>
  <si>
    <t>MOBILIARIOS</t>
  </si>
  <si>
    <t>DE EMPRESAS PUBLICAS FINANCIERAS</t>
  </si>
  <si>
    <t>(2) Unidad Presupuestaria</t>
  </si>
  <si>
    <t>Cta. Ctb.</t>
  </si>
  <si>
    <t>Nombre de la Cuenta</t>
  </si>
  <si>
    <t>Saldo</t>
  </si>
  <si>
    <t>Fdo Mpal</t>
  </si>
  <si>
    <t>FISDL</t>
  </si>
  <si>
    <t xml:space="preserve">OTROS- CREDITOS </t>
  </si>
  <si>
    <t>Caja  General</t>
  </si>
  <si>
    <t>A G 1</t>
  </si>
  <si>
    <t>Caja  Chica</t>
  </si>
  <si>
    <t>CREDITOS</t>
  </si>
  <si>
    <t>FONDOS PROPIOS</t>
  </si>
  <si>
    <t>Caja General</t>
  </si>
  <si>
    <t>Fondo Municipal</t>
  </si>
  <si>
    <t xml:space="preserve">TOTAL </t>
  </si>
  <si>
    <t>TOTAL FODES</t>
  </si>
  <si>
    <t>FODES 25%</t>
  </si>
  <si>
    <t>FONDOS DEL  F I S D L</t>
  </si>
  <si>
    <t>INGRESOS PROPIOS DE LOS ULTIMOS   5  AÑOS, PARA  ESTABLECER   UNA  MEDIA  SIMPLE</t>
  </si>
  <si>
    <t>AÑOS</t>
  </si>
  <si>
    <t>METODO DE MEDIA SIMPLE</t>
  </si>
  <si>
    <t>METODO DE  REGRESION LINEAL</t>
  </si>
  <si>
    <t>IMPUESTOS</t>
  </si>
  <si>
    <t>IMPUESTOS MUNICIPALES</t>
  </si>
  <si>
    <t>Financiero</t>
  </si>
  <si>
    <t>Bares  y Restaurantes</t>
  </si>
  <si>
    <t>Vialidad</t>
  </si>
  <si>
    <t>TASAS  Y DERECHOS</t>
  </si>
  <si>
    <t>TASAS DE SERVICIOS PUBLICOS</t>
  </si>
  <si>
    <t>Exp.Doc. De  Ident.Carné de Minoridad</t>
  </si>
  <si>
    <t>Terminal de Buses</t>
  </si>
  <si>
    <t xml:space="preserve">DERECHOS  </t>
  </si>
  <si>
    <t>VENTA DE BIENES Y SERVICIOS</t>
  </si>
  <si>
    <t>INGRESOS POR PRES. DE SER. PUB</t>
  </si>
  <si>
    <t>Servicios básicos  ( agua)</t>
  </si>
  <si>
    <t>INGRESOS FINANCIEROS Y OTROS</t>
  </si>
  <si>
    <t>MULTAS E INTERESES POR MORA</t>
  </si>
  <si>
    <t>Multas  por pago de impuestos</t>
  </si>
  <si>
    <t>Otras multas Municipales</t>
  </si>
  <si>
    <t xml:space="preserve">ARRENDAMIENTO DE BIENES   </t>
  </si>
  <si>
    <t>Arrendamiento de Bienes Diversos</t>
  </si>
  <si>
    <t>OTROS INGRESOS NO CLASIFICADOS</t>
  </si>
  <si>
    <t>Diferenciales Bancarios</t>
  </si>
  <si>
    <t xml:space="preserve">TRANSFERENCIAS CORRIENTES  </t>
  </si>
  <si>
    <t>TRANS. CTES DEL SECTOR PUBLICO</t>
  </si>
  <si>
    <t>TRANSFERENCIAS DE CAPITAL</t>
  </si>
  <si>
    <t>TRANS. CAP.SECTOR PUBLICO</t>
  </si>
  <si>
    <t>SALDOS DE AÑOS ANTERIORES</t>
  </si>
  <si>
    <t>CTAS.X COBRAR AÑOS ANTERIORES</t>
  </si>
  <si>
    <t>X</t>
  </si>
  <si>
    <t>Y     INGRESOS ANUALES</t>
  </si>
  <si>
    <t>X   Y</t>
  </si>
  <si>
    <t>a   =</t>
  </si>
  <si>
    <t>N</t>
  </si>
  <si>
    <t>b   =</t>
  </si>
  <si>
    <t>X =  3</t>
  </si>
  <si>
    <t>Y  =</t>
  </si>
  <si>
    <t>x 3</t>
  </si>
  <si>
    <t>Δ =</t>
  </si>
  <si>
    <t xml:space="preserve">Δ = </t>
  </si>
  <si>
    <t>No.</t>
  </si>
  <si>
    <t>Nombres del Empleado</t>
  </si>
  <si>
    <t>Cargo o Puesto</t>
  </si>
  <si>
    <t>Depto.</t>
  </si>
  <si>
    <t>sub- Linea</t>
  </si>
  <si>
    <t>Sistema de remuneración</t>
  </si>
  <si>
    <t>SALARIO</t>
  </si>
  <si>
    <t>Aportes Por Contribuciones Patronales</t>
  </si>
  <si>
    <t>Mensual</t>
  </si>
  <si>
    <t>Anual</t>
  </si>
  <si>
    <t>Aguinaldo</t>
  </si>
  <si>
    <t>ISSS 7.5%</t>
  </si>
  <si>
    <t>INSAFORP</t>
  </si>
  <si>
    <t>Total</t>
  </si>
  <si>
    <t>Alcalde  Municipal</t>
  </si>
  <si>
    <t>Despacho</t>
  </si>
  <si>
    <t>0101</t>
  </si>
  <si>
    <t>Ley de Salario</t>
  </si>
  <si>
    <t>Nora del Carmen  León de Iraheta</t>
  </si>
  <si>
    <t>Secretaria  Municipal</t>
  </si>
  <si>
    <t>SUB-TOTAL   ( LINEA 0101)</t>
  </si>
  <si>
    <t>Catastro</t>
  </si>
  <si>
    <t>Jefe de la U.A.C.I.</t>
  </si>
  <si>
    <t>U.A.C.I.</t>
  </si>
  <si>
    <t>Contrato</t>
  </si>
  <si>
    <t>Dagoberto  Alas Fernández</t>
  </si>
  <si>
    <t>Contador</t>
  </si>
  <si>
    <t>Contabilidad</t>
  </si>
  <si>
    <t>Jorge Alberto Vides Montoya</t>
  </si>
  <si>
    <t xml:space="preserve"> SUB- TOTAL  ( LINEA 0102)</t>
  </si>
  <si>
    <t>Gladys elsa Castillo Zaldaña</t>
  </si>
  <si>
    <t>Jefe del Reg. Del Estado Familiar</t>
  </si>
  <si>
    <t>Reg. Del Estado Fam.</t>
  </si>
  <si>
    <t>Macario  Castellanos  Coreas</t>
  </si>
  <si>
    <t>Enoc Navarro Ortiz</t>
  </si>
  <si>
    <t>SUB-TOTAL (LINEA 0201)</t>
  </si>
  <si>
    <t>SUB TOTAL ( LINEA  0101) + (LINEA 0102) + (LINEA 0201)+(LINEA 0202)</t>
  </si>
  <si>
    <t>DIETAS A CONCEJALES</t>
  </si>
  <si>
    <t>Auditoria Interna</t>
  </si>
  <si>
    <t>Pago  de sueldos, dietas y  aguinaldos</t>
  </si>
  <si>
    <t>Contribuciones    Patronales</t>
  </si>
  <si>
    <t>TOTAL   SUELDOS</t>
  </si>
  <si>
    <t>Totales</t>
  </si>
  <si>
    <t>0101       Dir. Y Administ. Superior</t>
  </si>
  <si>
    <t>A  Instit. De Seg.Publica</t>
  </si>
  <si>
    <t>0102  Adm. Financiera y Tribut.</t>
  </si>
  <si>
    <t>0101      Dir. Y Administ. Superior</t>
  </si>
  <si>
    <t>0201     Serv. Internos</t>
  </si>
  <si>
    <t>0102    Adm. Financiera y Tribut.</t>
  </si>
  <si>
    <t>0202     Serv. Externos</t>
  </si>
  <si>
    <t>0201   Serv. Internos</t>
  </si>
  <si>
    <t>0202   Serv. Externos</t>
  </si>
  <si>
    <t>Dietas</t>
  </si>
  <si>
    <t>Pagar con fdo. Mppal.</t>
  </si>
  <si>
    <t>A Inst.de Seg. Privada</t>
  </si>
  <si>
    <t>0101     Dir. Y Administ. Superior</t>
  </si>
  <si>
    <t>0101        Dir. Y Administ. Superior</t>
  </si>
  <si>
    <t>0102   Adm. Financiera y Tribut.</t>
  </si>
  <si>
    <t>0101   'Tranf. Sector Publico. INSAFORP</t>
  </si>
  <si>
    <t>COD.</t>
  </si>
  <si>
    <t>0202 servicios externos</t>
  </si>
  <si>
    <t>SUB TOTAL</t>
  </si>
  <si>
    <t>CONCEPTO</t>
  </si>
  <si>
    <t>51201</t>
  </si>
  <si>
    <t>51301</t>
  </si>
  <si>
    <t>SUB-TOTAL</t>
  </si>
  <si>
    <t>FONDOS PROPIOS - FF2</t>
  </si>
  <si>
    <t>0102 Administración Financiera y Tributaria</t>
  </si>
  <si>
    <t>REMUNERACIONES EN LAS 2 FUENTES DE FINANCIAMIENTO</t>
  </si>
  <si>
    <t>4</t>
  </si>
  <si>
    <t>MINERALES NO METALICOS Y PROD. DERIVADOS</t>
  </si>
  <si>
    <t>TRANSPORTES FLETES Y ALMACENAMIENTOS</t>
  </si>
  <si>
    <t>56304</t>
  </si>
  <si>
    <t>ELECTRICAS Y DE COMUNCACIONES</t>
  </si>
  <si>
    <t>OBRAS DE INFRAESTRUCTURAS DIVERSAS</t>
  </si>
  <si>
    <t>(5) Sub fuente de Financiamiento</t>
  </si>
  <si>
    <t xml:space="preserve">ALCALDIA  MUNICIPAL  DE CHILTIUPAN,  </t>
  </si>
  <si>
    <t>LA MUNICIPALIDAD DE CHILTIUPÁN</t>
  </si>
  <si>
    <t>DEPARTAMENTO DE LA LIBERTAD.</t>
  </si>
  <si>
    <t>En uso de las facultades que le confiere el Art. 30 numeral 7 del Código  Municipal,</t>
  </si>
  <si>
    <t>ACUERDA:</t>
  </si>
  <si>
    <t xml:space="preserve">Art. 1.- Apruébese el Presupuesto de Ingresos y Egresos del Municipio de Chiltiupán, con sus Disposiciones Generales. </t>
  </si>
  <si>
    <t>EN DÓLARES AMERICANOS</t>
  </si>
  <si>
    <t>PRIMERA PARTE</t>
  </si>
  <si>
    <t>RUBRO</t>
  </si>
  <si>
    <t xml:space="preserve">             TOTAL</t>
  </si>
  <si>
    <t>TASAS Y DERECHOS</t>
  </si>
  <si>
    <t>VENTA  DE BIENES Y SERVICIOS</t>
  </si>
  <si>
    <t>INGRESOS FINANCIEROS  Y OTROS</t>
  </si>
  <si>
    <t>TRANFERENCIAS DE CAPITAL</t>
  </si>
  <si>
    <t>ENDEUDAMIENTO PUBLICO</t>
  </si>
  <si>
    <t>TOTAL INGRESOS</t>
  </si>
  <si>
    <t>REMUNERACIONES</t>
  </si>
  <si>
    <t>ADQUISICION DE BIENES Y SERVICIOS</t>
  </si>
  <si>
    <t>GASTOS FINANCIEROS Y OTROS</t>
  </si>
  <si>
    <t>TRANSFERENCIAS   CORRIENTES</t>
  </si>
  <si>
    <t>INVERSIONES EN  ACTIVOS FIJOS</t>
  </si>
  <si>
    <t>AMORTIZACION   DEL ENDEUDAMIENTO  PUBLICO</t>
  </si>
  <si>
    <t>TOTAL   EGRESOS</t>
  </si>
  <si>
    <t>Art. 2.-El presente presupuesto se aplicará bajo la modalidad de ÁREAS DE GESTIÓN, a fin de facilitar el cumplimiento de la técnica del registro de los hechos económicos de la Contabilidad Gubernamental.</t>
  </si>
  <si>
    <t>DISPOSICIONES GENERALES</t>
  </si>
  <si>
    <t>Disposiciones Fundamentales</t>
  </si>
  <si>
    <t>Art. 6.- Todo compromiso legalmente adquirido disminuye un crédito presupuestario, por tanto, no se podrá incurrir en gasto alguno sin afectar un crédito del presupuesto; tampoco deberá autorizarse pagos a cuenta de una asignación que estuviere agotada.</t>
  </si>
  <si>
    <t>Art. 7.- Los créditos presupuestarios se administrarán con orden y economía, no deben comprometerse sino en la medida estrictamente necesaria, para obtener un funcionamiento ordenado y económico de la administración municipal.</t>
  </si>
  <si>
    <t>A una asignación de carácter general no se podrá imputar gastos para los cuales exista en el Presupuesto una asignación de carácter específico, aún cuando esta última estuviere agotada.</t>
  </si>
  <si>
    <t>Las reservas de crédito constituidas estarán disponibles para los fines a que las mismas se refieran.</t>
  </si>
  <si>
    <t>Para afectar una asignación o cuota que no tenga saldo disponible, deberá previamente ser reforzada en forma legal.</t>
  </si>
  <si>
    <t>Art. 9. Los funcionarios que contravengan lo dispuesto en el inciso anterior responderán con sus bienes por los sueldos pagados o compromisos económicos adquiridos.</t>
  </si>
  <si>
    <t>Art. 11- Cuando una obra, proyecto o compromiso no se termine o liquide en el ejercicio del presupuesto vigente y éstos exigieren continuidad, los saldos deberán ser trasladados al presupuesto del ejercicio siguiente en las asignaciones respectivas.  Si las obras, proyectos o compromisos no requieren  continuidad , el  Concejo Municipal resolverá lo mas conveniente.</t>
  </si>
  <si>
    <t>Art. 12- Los saldos provenientes de asignaciones o cuotas, al término del ejercicio fiscal, y que no tengan requerimientos o compromisos pendientes, caducarán y serán cancelados.</t>
  </si>
  <si>
    <t>Art. 15- Los Funcionarios y Empleados que ordenen gastos, son responsables personalmente y con sus bienes de aquellas erogaciones que no estén comprendidas en el presupuesto, sin perjuicio de la acción penal que corresponda.</t>
  </si>
  <si>
    <t>Art. 17-  El Alcalde mensualmente evaluará la aplicación y desarrollo del presupuesto; con ese objeto, las unidades ejecutoras de los programas estarán obligadas a preparar y rendir los informes de la labor realizada, de conformidad con las instrucciones recibidas por dicho funcionario, la que los verificará en la oportunidad que estimare necesaria.</t>
  </si>
  <si>
    <t>El Concejo Municipal podrá suspender la provisión de fondos que correspondiere a los proyectos o programas, en los casos en que verifique incumplimiento de las metas fijadas en los mismos, conforme al calendario de actividades.</t>
  </si>
  <si>
    <t>Los recibos por viáticos y transportes deben ser firmados en concepto de recipientes, por cada uno de los funcionarios, empleados o trabajadores beneficiarios que desempeñen la comisión oficial, por la cual se autorizan los viáticos y el transporte.</t>
  </si>
  <si>
    <t>Sé prohíbe adquirir al crédito los suministros y servicios que menciona el inciso primero de este Artículo.</t>
  </si>
  <si>
    <t>CUADRO RESUMEN</t>
  </si>
  <si>
    <t>PRESUPUESTO DE EGRESOS POR</t>
  </si>
  <si>
    <t>CLASIFICACIONES ECONOMICAS DE GASTO</t>
  </si>
  <si>
    <t>21</t>
  </si>
  <si>
    <t>GASTOS CORRIENTES</t>
  </si>
  <si>
    <t>22</t>
  </si>
  <si>
    <t>GASTOS DE CAPITAL</t>
  </si>
  <si>
    <t>23</t>
  </si>
  <si>
    <t>APLICACIONES FINANCIERAS</t>
  </si>
  <si>
    <t>CUADRO RESUMEN POR FUENTE DE FINANCIAMIENTO</t>
  </si>
  <si>
    <t>N°</t>
  </si>
  <si>
    <t>FUENTE</t>
  </si>
  <si>
    <t>INGRESOS</t>
  </si>
  <si>
    <t>EGRESOS</t>
  </si>
  <si>
    <t>FONDO GENERAL</t>
  </si>
  <si>
    <t>FONDO MUNICIPAL</t>
  </si>
  <si>
    <t>Genaro Cruz Melgar</t>
  </si>
  <si>
    <t>Auditor Interno</t>
  </si>
  <si>
    <t>Concejales</t>
  </si>
  <si>
    <t>3 - 03 - 01 - 1 - 112   Infraestructura Social. Fondos FISDL</t>
  </si>
  <si>
    <t>3-03-03-0-000  Infraestructura social , prestamos internos</t>
  </si>
  <si>
    <t>3-03-04-1-112 Infraestructura Social ,fondos  PFGL</t>
  </si>
  <si>
    <t>4-04-02-0-000 Desarrollo Economico, Prestamos Internos</t>
  </si>
  <si>
    <t>4-04-03-1-112 desarrollo Economico,Fondos  PFGL</t>
  </si>
  <si>
    <t>MTTO.Y REPARACION DE  INMUEBLES</t>
  </si>
  <si>
    <t>TRANSF. CORRIENTES AL SECTOR PUBLICO</t>
  </si>
  <si>
    <t xml:space="preserve">SUELDOS </t>
  </si>
  <si>
    <t>HERRAMIENTAS ,REPUESTOS Y ACCESORIOS</t>
  </si>
  <si>
    <t>El Fondo Circulante se formará en el mes de enero y se liquidará al final del ejercicio presupuestario.  Los reintegros al Fondo por pagos y gastos efectuados se harán cuantas veces sea necesario y por lo menos cada mes, previa autorización correspondiente.</t>
  </si>
  <si>
    <t>El Fondo Circulante cuyo monto exceda de: QUINIENTOS 00/100 DOLARES ($  500.00),  deberá depositarse en cuenta bancaria, y los pagos se harán por medio de cheques.</t>
  </si>
  <si>
    <t>Art. 26- El funcionario o empleado que en nombre de la Municipalidad contraiga deudas o compromisos de cualquier naturaleza, en contra de las leyes y reglamentos o sin autorización legal, será exclusivamente responsable ante los acreedores correspondientes y además será suspendido del ejercicio de sus funciones hasta por un mes sin goce de sueldo; en caso de reincidencia y si el hecho fuere delictuoso, será destituido. Cuando se tratare de un miembro del Concejo Municipal, éste quedará en la obligación de responder; si no cumpliere o reincidiere, el Concejo procederá a la suspensión correspondiente.</t>
  </si>
  <si>
    <t>PFGL</t>
  </si>
  <si>
    <t>FODES 75 %</t>
  </si>
  <si>
    <t>FDO. MPAL.</t>
  </si>
  <si>
    <t>A.G.</t>
  </si>
  <si>
    <t>BIENES DE USO Y CONSUMO DIVERSOS</t>
  </si>
  <si>
    <t>Art. 5.- Las presentes Disposiciones Generales son parte de los Documentos Técnicos que identifican los criterios, normas y procedimientos que regularán el proceso de ejecución presupuestaria. El Alcalde Municipal coordinará la integración de actividades, registros e información con las demás unidades administrativas y financieras, a fin de que interactúen conjuntamente en dicho proceso.</t>
  </si>
  <si>
    <t xml:space="preserve">Vallas Publicitarias </t>
  </si>
  <si>
    <t>Vallas publicitarias</t>
  </si>
  <si>
    <t xml:space="preserve"> TOTAL CAJA GENERAL  Y FDO MPAL</t>
  </si>
  <si>
    <t>Encargado del Depto.Catastro</t>
  </si>
  <si>
    <t>∑      Y</t>
  </si>
  <si>
    <t xml:space="preserve">      XY</t>
  </si>
  <si>
    <t>Disponibilidad</t>
  </si>
  <si>
    <t>Diferencia</t>
  </si>
  <si>
    <t>DESARROLLOS INFORMATICOS</t>
  </si>
  <si>
    <t>Disp. 75% fodes</t>
  </si>
  <si>
    <t>3-03-02-1-111 Desarrollo                             social</t>
  </si>
  <si>
    <t>Dispn. PFGL</t>
  </si>
  <si>
    <t>3 - 03 - 01 - 1  - 111 Infraestructura Social</t>
  </si>
  <si>
    <t>1-  02- 01- 2-  000     FONDOS PROPIOS</t>
  </si>
  <si>
    <t>1- 02- 02- 2- 000         FONDOS PROPIOS</t>
  </si>
  <si>
    <t>Denominacion</t>
  </si>
  <si>
    <t>54107</t>
  </si>
  <si>
    <t>CLASIFICACION PRESUPUESTARIA DE  INGRESOS</t>
  </si>
  <si>
    <t>CLASIFICACION PRESUPUESTARIA DE EGRESOS</t>
  </si>
  <si>
    <t>1-  01- 01- 2- 000       FONDOS PROPIOS</t>
  </si>
  <si>
    <t>1 -  01-02 -2 -000 FONDOS  PROPIOS</t>
  </si>
  <si>
    <t>Fondo  propio  -Prestamos Internos (Bco.Hipotecario )</t>
  </si>
  <si>
    <t xml:space="preserve">PRESTACIONES </t>
  </si>
  <si>
    <t xml:space="preserve">Irene del Carmen Serrano </t>
  </si>
  <si>
    <t>Total prestaciones laborales y sociales</t>
  </si>
  <si>
    <t>SERVICIOS DE CAPACITACION</t>
  </si>
  <si>
    <t>4-04-01-1-112 Dearrollo economico, Fondos FISDL</t>
  </si>
  <si>
    <t>61105</t>
  </si>
  <si>
    <t>VEHICULOS DE TRANSPORTE</t>
  </si>
  <si>
    <t>MINERALES   NO   METALICOS   Y    PRODUCTOS   DERIVADOS</t>
  </si>
  <si>
    <t>TRANSFERENCIAS DE CAPITAL AL SECTOR PUBLICO</t>
  </si>
  <si>
    <t>Disponib.Prest.</t>
  </si>
  <si>
    <t xml:space="preserve"> </t>
  </si>
  <si>
    <t>COMBUSTIBLES  Y LUBRICANTES</t>
  </si>
  <si>
    <t>54101</t>
  </si>
  <si>
    <t>PRODUCTOS ALIMENTICION PARA PERSONAS</t>
  </si>
  <si>
    <t>MATERIALES DE DEFENSA Y SEGURIDAD PUBLICA</t>
  </si>
  <si>
    <t>MANTENIMIENTO Y REPARACION DE VEHICULOS</t>
  </si>
  <si>
    <t>Disp.FISDL</t>
  </si>
  <si>
    <t>56201</t>
  </si>
  <si>
    <t>TRANSFERENCIAS CORRIENTES AL SECTOR PUBLICO ( INSAFORP )</t>
  </si>
  <si>
    <t>TRANSFERENCIAS CORRIENTES AL SECTOR PUBLICO  ( INSAFORP )</t>
  </si>
  <si>
    <t xml:space="preserve">Aguinaldo    y  un  Bono </t>
  </si>
  <si>
    <t>PRESTAMO  Nº  AA 1026091,  BANCO HOPETECARIO DE EL SALVADOR</t>
  </si>
  <si>
    <t>PRESTAMO  Nº  AA 1026101,  BANCO HOPETECARIO DE EL SALVADOR</t>
  </si>
  <si>
    <t>PRIMER REGIDOR</t>
  </si>
  <si>
    <t>AFP,s 7.75%</t>
  </si>
  <si>
    <t xml:space="preserve">Ana Arecely Hernandez Badio </t>
  </si>
  <si>
    <t xml:space="preserve">Facilitadora </t>
  </si>
  <si>
    <t xml:space="preserve">Fredis Menjivar Orellana </t>
  </si>
  <si>
    <t xml:space="preserve">Jose Ricardo Alas Renderos </t>
  </si>
  <si>
    <t>Presupuesto</t>
  </si>
  <si>
    <t>Tesoreria</t>
  </si>
  <si>
    <t>Arnoldo Rogelio Clara</t>
  </si>
  <si>
    <t>Jose Alcides Guerra</t>
  </si>
  <si>
    <t>Evaristo Badio Oliva</t>
  </si>
  <si>
    <t>TOTAL A PAGAR   DEL 25% FODES  Y FONDO MUNICIPAL</t>
  </si>
  <si>
    <t xml:space="preserve">TOTAL A PAGAR CON EL 75% FODES         PROGRAMAS SOCIALES </t>
  </si>
  <si>
    <t xml:space="preserve">0302       Programa Social </t>
  </si>
  <si>
    <t xml:space="preserve"> Pagar  Aguinaldo en  Dic. Con  75 % fodes</t>
  </si>
  <si>
    <t>IPSFA 7.0%</t>
  </si>
  <si>
    <t>INPEP 7.50%</t>
  </si>
  <si>
    <t>ARENDAMIENTO DE BIENES MUEBLES</t>
  </si>
  <si>
    <t>DESARROLLO INFORMATICOS</t>
  </si>
  <si>
    <t>54105</t>
  </si>
  <si>
    <t>PRODUCTOS DE PAPEL Y CARTON</t>
  </si>
  <si>
    <t>NOMBRE</t>
  </si>
  <si>
    <t>CARGO</t>
  </si>
  <si>
    <t>INGRESOS DEVENGADOS</t>
  </si>
  <si>
    <t>APORTACIONES PATRONALES</t>
  </si>
  <si>
    <t>VALOR C/U</t>
  </si>
  <si>
    <t>TOTAL APORTACIONES</t>
  </si>
  <si>
    <t>Dieta</t>
  </si>
  <si>
    <t>TOTAL REMUNERACIONES CONCEJALES</t>
  </si>
  <si>
    <t>FUENTE DE FINANCIAMIENTO: Fondos propios.</t>
  </si>
  <si>
    <t>DETALLE REMUNERACIONES EVENTUALES</t>
  </si>
  <si>
    <t>PERIODOS</t>
  </si>
  <si>
    <t>SUMINISTRO DE AGUA LAS FLORES</t>
  </si>
  <si>
    <t>SUMINISTRO DE AGUA TAQUILLO</t>
  </si>
  <si>
    <t>CODIGO</t>
  </si>
  <si>
    <t>Enero</t>
  </si>
  <si>
    <t>Febrero</t>
  </si>
  <si>
    <t>Marzo</t>
  </si>
  <si>
    <t>Abril</t>
  </si>
  <si>
    <t>Mayo</t>
  </si>
  <si>
    <t>Junio</t>
  </si>
  <si>
    <t>Julio</t>
  </si>
  <si>
    <t>Agosto</t>
  </si>
  <si>
    <t>Septiembre</t>
  </si>
  <si>
    <t>Octubre</t>
  </si>
  <si>
    <t>Noviembre</t>
  </si>
  <si>
    <t>Diciembre</t>
  </si>
  <si>
    <t>No. DE PERSONAS CONTRATADAS EVENTUALMENTE POR MES</t>
  </si>
  <si>
    <t>PROYECCION GASTOS CORRIENTES</t>
  </si>
  <si>
    <t>ESTIMADO AÑO</t>
  </si>
  <si>
    <t>Concejo Municipal</t>
  </si>
  <si>
    <t>Otros eventos</t>
  </si>
  <si>
    <t xml:space="preserve">ESTRUCTURA </t>
  </si>
  <si>
    <t>U.P.</t>
  </si>
  <si>
    <t>L.T.</t>
  </si>
  <si>
    <t>F.F.</t>
  </si>
  <si>
    <t>NATURALEZA DEL PROYECTO</t>
  </si>
  <si>
    <t>F. R.</t>
  </si>
  <si>
    <t>MODALIDAD DE EJECUCION</t>
  </si>
  <si>
    <t>TOTAL INVERSION</t>
  </si>
  <si>
    <t>contrato</t>
  </si>
  <si>
    <t xml:space="preserve">Inversión Social </t>
  </si>
  <si>
    <t>Administración</t>
  </si>
  <si>
    <t xml:space="preserve">Infraestructura Vial </t>
  </si>
  <si>
    <t xml:space="preserve"> MONTO</t>
  </si>
  <si>
    <t xml:space="preserve"> DENOMINACIÓN</t>
  </si>
  <si>
    <t>54110</t>
  </si>
  <si>
    <t>51107</t>
  </si>
  <si>
    <t xml:space="preserve">Beneficios Adicionales </t>
  </si>
  <si>
    <t>Contribuciones Patronales de Instituciones de Seguridad Privada</t>
  </si>
  <si>
    <t>Productos Alimenticios para Personas</t>
  </si>
  <si>
    <t>Productos Textiles y Vestuarios</t>
  </si>
  <si>
    <t>Bienes de Uso y Consumo Diversos</t>
  </si>
  <si>
    <t>Transporte</t>
  </si>
  <si>
    <t xml:space="preserve">Sueldos </t>
  </si>
  <si>
    <t>2- Los aguinaldos y bonos se componen de la siguiente manera:</t>
  </si>
  <si>
    <t>VALOR AGUINALDO</t>
  </si>
  <si>
    <t xml:space="preserve">ISSS </t>
  </si>
  <si>
    <t xml:space="preserve">INSAFORP </t>
  </si>
  <si>
    <t>AFP</t>
  </si>
  <si>
    <t xml:space="preserve"> Las cuotas patronales de ISSS, INSAFORP y AFP se componen de la siguiente manera:</t>
  </si>
  <si>
    <t>Los Sueldos se componen de la siguiente manera:</t>
  </si>
  <si>
    <t>54304</t>
  </si>
  <si>
    <t>Transportes, Fletes y Almacenamientos</t>
  </si>
  <si>
    <t xml:space="preserve">Personas naturales </t>
  </si>
  <si>
    <t xml:space="preserve">SECTOR: SOCIAL </t>
  </si>
  <si>
    <t>MODALIDAD: ADMINISTRACIÓN</t>
  </si>
  <si>
    <t>RESPONSABLE: CONCEJO MUNICIPAL</t>
  </si>
  <si>
    <t>PROGRAMA: MANTENIMIENTO DE CANCHA EL BAMBÚ</t>
  </si>
  <si>
    <t>POLICIA MUNICIPAL</t>
  </si>
  <si>
    <t xml:space="preserve">Salario por Jornal </t>
  </si>
  <si>
    <t xml:space="preserve"> DESGLOSE DE GASTOS CORRIENTES  </t>
  </si>
  <si>
    <t xml:space="preserve">DEPARTAMENTO DE LA LIBERTAD </t>
  </si>
  <si>
    <t xml:space="preserve">ALCALDIA MUNICIPAL DE CHILTIUPÁN </t>
  </si>
  <si>
    <t>Combustible y Lubricantes</t>
  </si>
  <si>
    <t>Herramientas, Repuestos y Accesorios</t>
  </si>
  <si>
    <t>54399</t>
  </si>
  <si>
    <t>MES</t>
  </si>
  <si>
    <t>AÑO</t>
  </si>
  <si>
    <t>54104</t>
  </si>
  <si>
    <t>PROGRAMA: FIESTAS PATRONALES</t>
  </si>
  <si>
    <t>ALCALDIA MUNICIPAL DE CHILTIUPÁN</t>
  </si>
  <si>
    <t>Salarios por Jornal</t>
  </si>
  <si>
    <t>VIATICOS</t>
  </si>
  <si>
    <t xml:space="preserve">Transporte y Fletes </t>
  </si>
  <si>
    <t>Minerales No Metálicos y Productos Derivados</t>
  </si>
  <si>
    <t>Minerales Metálicos y Productos Derivados</t>
  </si>
  <si>
    <t>Arrendamiento de Bienes Muebles.</t>
  </si>
  <si>
    <t>Becas</t>
  </si>
  <si>
    <t>Personas Naturales</t>
  </si>
  <si>
    <t xml:space="preserve">BIENES Y CONSUMO DIVERSOS </t>
  </si>
  <si>
    <t>PRODUCTOS ALIMENTICIOS</t>
  </si>
  <si>
    <t>COMBUSTIBLE Y LUBRICANTES</t>
  </si>
  <si>
    <t>BIENES Y USO CONSUMO DIVERSOS</t>
  </si>
  <si>
    <t>CONSULTORIAS, ESTUDIOS E INVESTIGACIONES DIVERSAS</t>
  </si>
  <si>
    <t>IMPRECIONES Y PUBLICACIONES Y REPRODUCCIONES</t>
  </si>
  <si>
    <t xml:space="preserve">PRODUCTOS Y TEXTILES Y VESTUARIOS </t>
  </si>
  <si>
    <t xml:space="preserve"> ESTRUCTURA PRESUPUESTARIA</t>
  </si>
  <si>
    <t>1- 01-  02-  1-      110                         25 % FODES</t>
  </si>
  <si>
    <t xml:space="preserve">CAJA GENERAL </t>
  </si>
  <si>
    <t>1- 01-  01-  1-      110                         25 % FODES</t>
  </si>
  <si>
    <t>1- 02-  01-  1-      110                         25 % FODES</t>
  </si>
  <si>
    <t>1- 02-  02-  1-      110                         25 % FODES</t>
  </si>
  <si>
    <t>4 - 04 - 01 - 1 - 111         Desarrollo economico, Fondos FODES</t>
  </si>
  <si>
    <t>5-05-01-1-111                                 servicio a la Deuda Publica</t>
  </si>
  <si>
    <t>PROCEDIMIENTO PARA FIRMAR Y  COBRAR, DOCUMENTOS CONTRA LA MUNICIPALIDAD</t>
  </si>
  <si>
    <t>FALCULTAD DE HACER DESCUENTOS</t>
  </si>
  <si>
    <t xml:space="preserve">DE LAS DEVOLUCIONES DE RENTA Y OTROS DEPOSITOS </t>
  </si>
  <si>
    <t xml:space="preserve">PAGO A FAVORES DE PERSONAS FALLECIDAS </t>
  </si>
  <si>
    <t>SUBSIDIO PARA FUNERALES</t>
  </si>
  <si>
    <t>DE LOS CONTRATOS Y SUMINISTROS</t>
  </si>
  <si>
    <t>DE LAS DIETAS DE LOS MIEMBROS DEL CONSEJO MUNICIPAL.</t>
  </si>
  <si>
    <t>RESPONSABILIDADES DE FUNCIONARIOS Y EMPLEADOS.</t>
  </si>
  <si>
    <t xml:space="preserve">DE LOS SERVICIOS EVENTUALES </t>
  </si>
  <si>
    <t>DE LAS REMUNERACIONES PERMANENTE.</t>
  </si>
  <si>
    <t>RESPONSABILIDADES DE LOS REFRENDARIOS DE CHEQUE</t>
  </si>
  <si>
    <t>PROHIBIDO RECIBIR VALORES SIN OTORGAR RECIBO O HACER COBROS ILEGALES.</t>
  </si>
  <si>
    <t>NO ES NECESARIO ACUERDO O RESOLUCION.</t>
  </si>
  <si>
    <t>DEL FONDO CIRCULANTE</t>
  </si>
  <si>
    <t>Art. 27- Se prohíbe a todo funcionario o empleado, recibir valor alguno sin que se extienda el recibo correspondiente en la forma legal o cuyo pago no esté contemplado en la Ley u Ordenanza.  La infracción de este precepto hará incurrir al culpable en una multa que será impuesta por el Concejo Municipal de acuerdo con la gravedad de la falta.  Pudiendo el culpable ser sujeto de suspensión de labores. Multa que será impuesta por el Concejo Municipal de acuerdo con la gravedad de la falta.  Pudiendo el culpable ser sujeto de suspensión de labores.</t>
  </si>
  <si>
    <t>Art. 28- Los refrendarios de cheques incurrirán en responsabilidad solidaria con el Tesorero o Encargado del Fondo Circulante, por el valor de los cheques que refrenden, en el caso de no existir crédito presupuestario, o no estén respaldados por los comprobantes de egreso respectivo, debidamente legalizado.</t>
  </si>
  <si>
    <t>Art. 29- Queda obligado el Concejo Municipal, a emitir acuerdos relacionados con el nombramiento, licencia o cancelación de funcionarios y empleados o cualquier otro movimiento de personal, que afecte los créditos presupuestarios.</t>
  </si>
  <si>
    <t>Art. 30- Los Empleados que en el Presupuesto son considerados en la nómina de Remuneraciones Permanente se regirán por estas normas:</t>
  </si>
  <si>
    <t>Art. 35.-. Cuando se disponga realizar Adquisiciones y Contrataciones de Bienes y Servicios para la Municipalidad o la construcción de obras, se estará sujeto a lo dispuesto en la Ley de Adquisiciones y Contrataciones de la Administración Pública (LACAP), siendo responsabilidad de dar cumplimiento a dicha normativa el Jefe de la Unidad de Adquisiciones y Contrataciones Institucional (UACI).</t>
  </si>
  <si>
    <t xml:space="preserve">DE LA EJECUCIÓN DEL PRESUPUESTO </t>
  </si>
  <si>
    <t>DE LOS CREDITOS PRESUPUESTOS.</t>
  </si>
  <si>
    <t>DE LA ADMINISTRACIÓN DE LOS CREDITOS PRESUPUESTOS</t>
  </si>
  <si>
    <t>UTILIZACIÓN DE LAS ASIGNACIONES</t>
  </si>
  <si>
    <t>DE LOS SOBRANTES DE AUTORIZACIONES DE GASTOS</t>
  </si>
  <si>
    <t xml:space="preserve">SALDOS PENDIENTES DE PAGO DEBEN CONSIGNARSE EN EL EJERCICIO SIGUIENTES </t>
  </si>
  <si>
    <t>VENCIMIENTOS DE ASIGNACIONES Y CUOTAS</t>
  </si>
  <si>
    <t xml:space="preserve">DE LOS GASTOS FIJOS </t>
  </si>
  <si>
    <t>RESPONSABILIDAD EN LOS GASTOS ILEGALES</t>
  </si>
  <si>
    <t>RESPONSABILIDAD DEL ORDENADOR DE PAGOS</t>
  </si>
  <si>
    <t>DE LA LIQUIDACIÓN DEL PRESUPUESTO</t>
  </si>
  <si>
    <t>DE LA EVALUACIÓN DEL PRESUPUESTO</t>
  </si>
  <si>
    <t xml:space="preserve"> T O T A L   </t>
  </si>
  <si>
    <t>Productos Alimenticios        (a pagar de fondos propios).</t>
  </si>
  <si>
    <t>Art. 26- No será necesario Acuerdo o Resolución para erogaciones en el pago de dietas de los miembros del Concejo Municipal, salarios permanentes  por Ley de salario  o por contrato, Bonificaciones, horas extraordinarias, aguinaldos, alquileres de inmuebles, servicios básicos, subvenciones mensuales a instituciones culturales  o de beneficencia y demás gastos fijos debidamente consignados en el Presupuesto, para los cuales bastará que haya crédito presupuestario y fondos disponibles para efectuar los pagos.</t>
  </si>
  <si>
    <t>ALCALDÍA  MUNICIPAL DE CHILTIUPAN</t>
  </si>
  <si>
    <t>SIN FECHA  DEFINIDA  PARA  EJECUCIÓN</t>
  </si>
  <si>
    <t>i )       Las personas contratadas de forma temporal, por días, semanas, catorcenas u otro periodo que no implique una plaza fija; para efectuar labores de  índole operativa, bajo relación de subordinación o dependencia laboral,  se considerarán de carácter permanente de acuerdo a la definición en  El Art. 64 de La Ley de Impuesto Sobre la Renta. Y la retención de la Renta estará sujeta a las tablas de retención, según Art.155 del código Tributario.</t>
  </si>
  <si>
    <t xml:space="preserve">ARENDAMIENTO DE BIENES INMUEBLES </t>
  </si>
  <si>
    <t>54103</t>
  </si>
  <si>
    <t xml:space="preserve">PRODUCTOS AGROPECUARIOS Y FORESTALES </t>
  </si>
  <si>
    <t>Rodolfo Sigfredo Cuellar Morales</t>
  </si>
  <si>
    <t>.</t>
  </si>
  <si>
    <t>Mantenimiento y Reparación de bienes inmuebles</t>
  </si>
  <si>
    <t>RRODUCTOS TEXTILES Y VESTUARIO</t>
  </si>
  <si>
    <t>IMPUESTOS, TASAS Y DERECHOS DIVERSOS</t>
  </si>
  <si>
    <t xml:space="preserve">Empleados Eventuales </t>
  </si>
  <si>
    <t>CONCEJALES</t>
  </si>
  <si>
    <t>GRAN TOTAL REMUNEACIONES</t>
  </si>
  <si>
    <t>EMPLEADOS A PAGAR CON 75% FODES</t>
  </si>
  <si>
    <t>PAGADOS CON FONDOS PROPIOS</t>
  </si>
  <si>
    <t xml:space="preserve">SUB TOTAL EMPLEADOS EVENTUALES </t>
  </si>
  <si>
    <t xml:space="preserve">SUB TOTAL A PAGAR CON FONDOS PROPIOS AL CONCEJO </t>
  </si>
  <si>
    <t xml:space="preserve">TOTAL A PAGAR CON FONDOS PROPIOS </t>
  </si>
  <si>
    <t>PAGAR 12 MESES DEL FONDOS PROPIOS</t>
  </si>
  <si>
    <t>BONO</t>
  </si>
  <si>
    <t>AGUINALDO</t>
  </si>
  <si>
    <t xml:space="preserve">PAGAR CON FONDOS PROPIOS </t>
  </si>
  <si>
    <t>Ramo de Justicia y Seguridad Publica</t>
  </si>
  <si>
    <t>3 - 03 -  01  - 121               Ministerio de Justicia y Seguridad Publica</t>
  </si>
  <si>
    <t>DE VIVIENDA Y OFICINA</t>
  </si>
  <si>
    <t>Encargado del personal de Limpieza</t>
  </si>
  <si>
    <t>Auxiliar de Tesoreria</t>
  </si>
  <si>
    <t>SUMINISTRO DE AGUA EN CORINTO</t>
  </si>
  <si>
    <t>Motorista de Recolector</t>
  </si>
  <si>
    <t>AÑO 2020</t>
  </si>
  <si>
    <t xml:space="preserve"> PRESUPUESTO MUNICIPAL DE EGRESOS AÑO 2020</t>
  </si>
  <si>
    <r>
      <t xml:space="preserve">FUENTE  DE FINANCIAMIENTO:   </t>
    </r>
    <r>
      <rPr>
        <b/>
        <i/>
        <sz val="12"/>
        <color rgb="FFFF0000"/>
        <rFont val="Trebuchet MS"/>
        <family val="2"/>
      </rPr>
      <t xml:space="preserve"> F.O.D.E.S.  75 %</t>
    </r>
  </si>
  <si>
    <t>Art.20- Se faculta al Alcalde Municipal para que ordene descuentos a funcionario o empleados o trabajadores municipales, por la pérdida de herramientas, materiales y demás bienes del municipio, así como, por daños ocasionados a bienes de propiedad municipal, cuando dicha perdida o deterior se deba a negligencia de los funcionarios, empleados o trabajadores responsable de su manejo. El descuento se hará en proporción de remuneración respectiva, sin exceder del 15% sobre dicha remuneración y de acuerdo al precio de la cosa perdida o deteriorada, hasta el completo pago o reparación del daño causado.</t>
  </si>
  <si>
    <t>Productos de papel y cartón</t>
  </si>
  <si>
    <t xml:space="preserve">Bienes de uso y consumo Diversos </t>
  </si>
  <si>
    <t>0202  Adm. Financiera y Tribut.</t>
  </si>
  <si>
    <t>SERVICIO DE ENERGIA ELECTRICA</t>
  </si>
  <si>
    <t xml:space="preserve">CONSULTORIA ESTUDIOS E INVESTIGACIONES DIVERSAS </t>
  </si>
  <si>
    <t xml:space="preserve">AFP </t>
  </si>
  <si>
    <t xml:space="preserve"> Pagar 2 Meses con Fdo.Mpal</t>
  </si>
  <si>
    <t xml:space="preserve"> PRESUPUESTO MUNICIPAL DE EGRESOS  AÑO 2021</t>
  </si>
  <si>
    <t>FODES 2%</t>
  </si>
  <si>
    <t>FONDO GENERAL109 (DECRETO 608)</t>
  </si>
  <si>
    <t>TOTAL DE FONDO GENERAL 109</t>
  </si>
  <si>
    <t xml:space="preserve">OBJETO ESPECIFICO </t>
  </si>
  <si>
    <t>(13) TOTAL</t>
  </si>
  <si>
    <t>35</t>
  </si>
  <si>
    <r>
      <t xml:space="preserve">FUENTE  DE FINANCIAMIENTO:   </t>
    </r>
    <r>
      <rPr>
        <b/>
        <i/>
        <sz val="12"/>
        <color rgb="FFFF0000"/>
        <rFont val="Trebuchet MS"/>
        <family val="2"/>
      </rPr>
      <t xml:space="preserve"> F O N D O     G E N E R A L    1 0 9</t>
    </r>
  </si>
  <si>
    <t xml:space="preserve">  </t>
  </si>
  <si>
    <t>Productos de cuero y caucho</t>
  </si>
  <si>
    <t>Unidad de Planeamiento</t>
  </si>
  <si>
    <t>0401</t>
  </si>
  <si>
    <t>SUELDO</t>
  </si>
  <si>
    <r>
      <t xml:space="preserve">FUENTE  DE FINANCIAMIENTO:   </t>
    </r>
    <r>
      <rPr>
        <b/>
        <i/>
        <sz val="12"/>
        <color rgb="FFFF0000"/>
        <rFont val="Trebuchet MS"/>
        <family val="2"/>
      </rPr>
      <t xml:space="preserve">     2% F O D E S </t>
    </r>
  </si>
  <si>
    <t>36</t>
  </si>
  <si>
    <t xml:space="preserve">TELECOMUNICACIONES </t>
  </si>
  <si>
    <t>TOTAL INVERSION  FONDO GENERAL   109</t>
  </si>
  <si>
    <t>09</t>
  </si>
  <si>
    <t>10</t>
  </si>
  <si>
    <t>11</t>
  </si>
  <si>
    <t>12</t>
  </si>
  <si>
    <t>13</t>
  </si>
  <si>
    <t>14</t>
  </si>
  <si>
    <t>SUMINISTRO DE AGUA EN LA CAMARONERA</t>
  </si>
  <si>
    <t>Tito Antonio Cartagena Escobar</t>
  </si>
  <si>
    <t xml:space="preserve">Sindico Municipal </t>
  </si>
  <si>
    <t>Maria Cristina Menjivar de Guerra</t>
  </si>
  <si>
    <t>Ivon Marlene Beltran Escobar</t>
  </si>
  <si>
    <t>Auxiliar de Contador</t>
  </si>
  <si>
    <t>Aux.Contabilidad</t>
  </si>
  <si>
    <t>Veronica Arleni Cardona Zelaya</t>
  </si>
  <si>
    <t xml:space="preserve">Saen Abraham Garcia Cabrera </t>
  </si>
  <si>
    <t xml:space="preserve">Daniveri Elizabeth Calderon Mendez </t>
  </si>
  <si>
    <t xml:space="preserve">Aux, de Catastro </t>
  </si>
  <si>
    <t>Maria de los Angeles Escobar Ibarra</t>
  </si>
  <si>
    <t xml:space="preserve">Cuentas Corrientes  </t>
  </si>
  <si>
    <t xml:space="preserve">SUB, TOTAL </t>
  </si>
  <si>
    <t>SALDO EN BANCOS AL 31/12/2021  DISPONIBLE, (FONDO GENERAL 109) COVID-19 TORMENTA TROPICAL AMANDA</t>
  </si>
  <si>
    <t>DENOMINACIONES</t>
  </si>
  <si>
    <t>Ana Catalina Rodezno Reyes</t>
  </si>
  <si>
    <t xml:space="preserve">Encargada de Fusal </t>
  </si>
  <si>
    <t>PROYECTOS A EJECUTAR EN 2022</t>
  </si>
  <si>
    <t>120- LIBRE DISPONIBILIDAD</t>
  </si>
  <si>
    <t>EMPLEADOS A PAGAR CON 120 LIBRE DISPONIBILIDAD</t>
  </si>
  <si>
    <t xml:space="preserve">Gustavo Valdez </t>
  </si>
  <si>
    <t xml:space="preserve">Encargado de comunicaciones </t>
  </si>
  <si>
    <t xml:space="preserve"> Pagar 2  Mes con Fdo.Mpal</t>
  </si>
  <si>
    <t xml:space="preserve">CUERO Y CAUCHO </t>
  </si>
  <si>
    <t>54106</t>
  </si>
  <si>
    <t>PRODUCTOS DE CUERO Y CAUCHO</t>
  </si>
  <si>
    <t xml:space="preserve">FONDOS PARA INVERSION  120- LIBRE DISPONIBILIDAD </t>
  </si>
  <si>
    <t xml:space="preserve">FONDO GENERAL </t>
  </si>
  <si>
    <t>TITO ANTONIO CARTAGENA ESCOBAR</t>
  </si>
  <si>
    <t>MARIA CRISTINA MENJIVAR DE GUERRA</t>
  </si>
  <si>
    <t>CARLOS ARNOLDO BADIO ARIZA</t>
  </si>
  <si>
    <t xml:space="preserve">ADELA GUADALUPE LIEVANO AGUILAR </t>
  </si>
  <si>
    <t xml:space="preserve">EDUARDO ALEXANDER ALVAREZ ALVARENGA </t>
  </si>
  <si>
    <t xml:space="preserve">BALTAZAR AGUIRRE ECHEVERRIA </t>
  </si>
  <si>
    <t>NATIVIDAD DE JESUS SOLORZANO PALMA</t>
  </si>
  <si>
    <t>JESUS NEFTALY AVALOS AGUILAR</t>
  </si>
  <si>
    <t xml:space="preserve">MARIA SOLIS MORALES </t>
  </si>
  <si>
    <t>120- LIBRE DISPONIBILIDAD GASTOS DE ADMINISTRACION</t>
  </si>
  <si>
    <t xml:space="preserve">120- LIBRE DISPONIBILIDAD </t>
  </si>
  <si>
    <t xml:space="preserve">FODES </t>
  </si>
  <si>
    <t>120- LIBRE DISPONIB, GASTOS DE ADMINISTRACION</t>
  </si>
  <si>
    <t xml:space="preserve">120-LIBRE DISPONIBILIDAD-FONDOS PARA GASTOS DE  ADMINISTRACION.  </t>
  </si>
  <si>
    <t xml:space="preserve">SALDO EN BANCOS AL 31/12/2021, DEL 25% F O D E S </t>
  </si>
  <si>
    <t>SALDO EN BANCOS AL 31/12/2021  DISPONIBLE, EN CUENTA 75% FODES</t>
  </si>
  <si>
    <t xml:space="preserve">GASTOS DE ADMINISTACION </t>
  </si>
  <si>
    <t>120-LIBRE DISPONIBILIDAD</t>
  </si>
  <si>
    <t xml:space="preserve">FONDO GENERAL 75% FODES </t>
  </si>
  <si>
    <t>Fomento al Turismo</t>
  </si>
  <si>
    <t xml:space="preserve">Celebración de Fiestas Patronales </t>
  </si>
  <si>
    <t>Recolección y disposición final de desechos sólidos</t>
  </si>
  <si>
    <t>Jessicka Patricia Ayala Esquivel</t>
  </si>
  <si>
    <t>Jefe del Departamento Jurídico</t>
  </si>
  <si>
    <t xml:space="preserve">Gestión y Coperación </t>
  </si>
  <si>
    <t xml:space="preserve">Unidad de la Mujer, Niñez y adolescencia </t>
  </si>
  <si>
    <t>Reina Ester Rodas de Flores</t>
  </si>
  <si>
    <t>Juán Cartagena Alvarado</t>
  </si>
  <si>
    <t>Jefe del Departamento Jurídico y Acceso a la Informacón Pública</t>
  </si>
  <si>
    <t>Caja</t>
  </si>
  <si>
    <t xml:space="preserve"> Pagar en  Dic. Con  Gastos de administración Aguinaldo</t>
  </si>
  <si>
    <t>Casetas Telefónicas</t>
  </si>
  <si>
    <t>Aux. contabilidad</t>
  </si>
  <si>
    <t>Unidad de  Medio Ambiente Agricultura y Protección Civil</t>
  </si>
  <si>
    <t>Reparación de Caminos y Ornamento del municipio</t>
  </si>
  <si>
    <t xml:space="preserve">Actualización Catastral </t>
  </si>
  <si>
    <t>HERRAMIENTAS, REPUESTOS Y ACCESORIOS</t>
  </si>
  <si>
    <t>Productos alimenticios para personas</t>
  </si>
  <si>
    <t xml:space="preserve">PROGRAMA: COMITÉ LOCAL DE DERECHOS DE LA NIÑEZ Y LA ADOLECENCIA </t>
  </si>
  <si>
    <t>META: VELAR Y GARANTIZAR QUE LOS DERECHOS DE LA NIÑEZ Y LA ADOLESCENCIA SE CUMPLAN Y SEAN RESPETADOS.</t>
  </si>
  <si>
    <t>INDICADOR: NIÑOS BENEFICIADOS POR PROYECTOS QUE CUIDEN SU INTEGRIDAD.</t>
  </si>
  <si>
    <t>Aguinaldos</t>
  </si>
  <si>
    <t>Materiales de Defensa y Seguridad Pública.</t>
  </si>
  <si>
    <t>COTIZACIONES</t>
  </si>
  <si>
    <t>VALOR DE BONIFICACION</t>
  </si>
  <si>
    <t xml:space="preserve">PROYECTO: FOMENTO A LA EDUCACIÓN </t>
  </si>
  <si>
    <t>INDICADOR: AUMENTO DE TURISTAS AL MUNICIPIO.</t>
  </si>
  <si>
    <t>DESCRIPCION</t>
  </si>
  <si>
    <t>Día</t>
  </si>
  <si>
    <t>PROYECTO: CELEBRACIÓN DE FIESTA PATRONALES</t>
  </si>
  <si>
    <t>Fomento al Deporte</t>
  </si>
  <si>
    <t>Servicio de Agua</t>
  </si>
  <si>
    <t>Productos Químicos</t>
  </si>
  <si>
    <t>INDICADOR: CANTIDAD DE PERSONAS QUE HACEN USO DE LA CANCHA.</t>
  </si>
  <si>
    <t>PROYECTO: FOMENTO AL DEPORTE</t>
  </si>
  <si>
    <t>PROGRAMA: FOMENTO AL TURISMO</t>
  </si>
  <si>
    <t>A Personas Naturales</t>
  </si>
  <si>
    <t>Derechos de Propiedad Intelectual</t>
  </si>
  <si>
    <t>Bienes de Uso y Consumo Diverso</t>
  </si>
  <si>
    <t>PROYECTO: FOMENTO AL TURISMO</t>
  </si>
  <si>
    <t>Minerales no Metálicos y Productos Derivados</t>
  </si>
  <si>
    <t>REABILITACION DE CALLE EN FINAL PASAJE LAS PACAYAS (DECRETO 728)</t>
  </si>
  <si>
    <t>CONSTRUCCION DE PUENTE EN COLONIA EL ESPIRITU SANTOO, CANTON EL ZONTE (DECRETO 728)</t>
  </si>
  <si>
    <t>MEJORAMIENTO DE CALLE PRINCIPAL DE CACERIO EL PROGRESO, MUNICIPIO DE CHILTIUPAN</t>
  </si>
  <si>
    <t>CONSTRUCCION DE PUENTE PASARELA EN PASAJE LOS PINEDA (DECRETO 728)</t>
  </si>
  <si>
    <t>MEJORAMIENTO DE CALLE PRINCIPAL DE CACERIO RIO MAR (DECRETO 728)</t>
  </si>
  <si>
    <t>REHABILITACION DE CALLE PRINCIPAL CANTON SIBERIA</t>
  </si>
  <si>
    <t>UNIDAD DE MEDIO AMBIENTE</t>
  </si>
  <si>
    <t>FOMENTO A LA EDUCACION</t>
  </si>
  <si>
    <t>PLAN ANUAL DEL COMITÉ LOCAL DE DERECHOS DE LA NIÑEZ Y ADOLESCENCIA</t>
  </si>
  <si>
    <t>FOMENTO A LA SEGURIDAD Y PREVENCION A LA VIOLENCIA N LAS INSTALACIONES MUNICIPALES INVERSIONES DE PROYECTOS Y PARTICIPACION CIUDADANA CON EL APOYO DE LA PNC</t>
  </si>
  <si>
    <t xml:space="preserve"> TOTAL  GENERAL</t>
  </si>
  <si>
    <t>TOTAL GENERAL</t>
  </si>
  <si>
    <t>120</t>
  </si>
  <si>
    <t>6</t>
  </si>
  <si>
    <t xml:space="preserve">Pagar  12  Meses con la 120 libre disponibilidad             </t>
  </si>
  <si>
    <t>Pagar  12  Meses con la 120 libre disponibilidad</t>
  </si>
  <si>
    <r>
      <t xml:space="preserve">FUENTE O SUBFUENTE DE FINANCIAMIENTO:   </t>
    </r>
    <r>
      <rPr>
        <b/>
        <i/>
        <sz val="12"/>
        <color theme="0"/>
        <rFont val="Trebuchet MS"/>
        <family val="2"/>
      </rPr>
      <t xml:space="preserve"> 120- LIBRE DISPONIBLIDAD </t>
    </r>
  </si>
  <si>
    <t>COMBUSTIBLE Y LUBRICANTE</t>
  </si>
  <si>
    <t>MAQUINARIA Y EQUIPO PARA LA PRODUCCION</t>
  </si>
  <si>
    <t xml:space="preserve">ARENDAMIENTO DE BIENES MUEBLES </t>
  </si>
  <si>
    <t>6- 01-  01-  1-      GASTOS DE ADMINISTRACION   120 FODES</t>
  </si>
  <si>
    <t>61109</t>
  </si>
  <si>
    <t xml:space="preserve">6-01-01-1-120 Desarrollo Económico FODES </t>
  </si>
  <si>
    <t>Art. 3.- Las presentes disposiciones constituyen las normas complementarias para ordenar y enmarcar la ejecución del Presupuesto Municipal; las cuales se aplicarán a todas las operaciones relacionadas con los ingresos y egresos de esta Municipalidad, que estarán bajo la responsabilidad de las unidades  designadas para tal propósito, actuando cada una dentro del área de su competencia.</t>
  </si>
  <si>
    <t>Art. 8.- Las asignaciones deberán ser utilizadas en la forma  que las haya aprobado  el Concejo Municipal.  Cada asignación deberá estar disponible solo durante el ejercicio fiscal a que corresponda, y se utilizará únicamente para los propósitos y hasta por la cantidad indicada, excepto cuando la asignación haya sido modificada por decretos legalmente aprobados.</t>
  </si>
  <si>
    <t>Art. 10- La cantidad autorizada para una obra, trabajo o servicio es una limitación al gasto; pero no deberá utilizarse necesariamente el total autorizado.  Los sobrantes de autorizaciones de gastos no podrán invertirse en otras obras, trabajos o servicios, sin la  previa autorización respectiva.</t>
  </si>
  <si>
    <t>Art. 14- El gasto ilegal hace responsables a los Miembros del Concejo Municipal que lo aprobaren, por el pago indebido.  El responsable de la Contabilidad, participará de la misma responsabilidad, cuando fuere por insuficiencia de crédito presupuestario o aplicación indebida de la asignación de presupuesto.</t>
  </si>
  <si>
    <t>Art. 16- Para los créditos comprendidos con cargo al presupuesto que al treinta y uno de Diciembre se encuentren pendientes de pago, deberán estar constituidas y aprobadas sus reservas de créditos. La entidad deberá liquidar el presupuesto para determinarla situación financiera del ejercicio finalizado.</t>
  </si>
  <si>
    <t>Art.18- Se prohíbe al tesorero prestar o anticipar cualquier cantidad de los fondos municipales u otros valores, así como darles un destino diferente al servicio municipal, salvo los casos previsto por la ley.</t>
  </si>
  <si>
    <t>La contravención a lo dispuesto en el inciso anterior constituye delito de malversación de caudales públicos y será juzgado el infractor con arreglo al código penal, suspendiéndose por el mismo hecho del ejercicio de su mismo cargo o empleo. La suspensión será ordenada por el consejo municipal.</t>
  </si>
  <si>
    <t xml:space="preserve">Art. 19- Todos los recibos o documentos deberán estar firmados por los recipientes, Las personas que no puedan firmar, deberán dejar  estampada la huella digital, y deberá firmar otra persona  a ruego de este. </t>
  </si>
  <si>
    <t xml:space="preserve">Art.21- Lo corresponde al Consejo Municipal autorizar la devolución de rentas recaudadas indebidamente, depósitos y además fondos ajenos en custodia </t>
  </si>
  <si>
    <t>Art. 22- Cuando se trate de pagos a favor de personas fallecidas, los documentos de egresos deberán ser firmados por el beneficiario en el caso de haberlo designado con anterioridad por el heredero o herederos que comprueben tal calidad.</t>
  </si>
  <si>
    <t>Sin embargo cuando las cantidades que deban pagarse no excedieran de un salario mínimo si no hubiere beneficiario designado o herederos declarados, el alcalde comprobara por otros medios legales de prueba. Y mediante resolución determinará la o las personas beneficiarias, para los efectos de legalización y pago, en el orden que sea necesario.</t>
  </si>
  <si>
    <t>Igual procedimiento se observará cuando la persona deba firmar el documento de pago estuviere incapacitada mentalmente para hacerlo.</t>
  </si>
  <si>
    <t>Art.23- Los funcionarios y empleados municipales gozaran de asuetos, vacaciones y licencias en forma que establece la ley de asuetos, vacaciones y licencia de los empleados públicos; así como también, el día del empleado Municipal, y de los días de asuetos, vacaciones y licencia que en el curso del año acuerde la municipalidad por circunstancias especiales.</t>
  </si>
  <si>
    <t xml:space="preserve">los funcionarios o empleados que por circunstancias de trabajo no puedan gozar de vacación en los periodos mencionados, gozaran de quince días de vacación anual remunerada, por cada año de servicio. Esta vacación no podrá compensarse en dinero y la obligación de la municipalidad de darla corresponde la del trabajador de tomarla. </t>
  </si>
  <si>
    <t xml:space="preserve">Art.24- Se podrá autorizar subsidio para funerales de los empleados  que fallezcan, cuando se encuentren prestando sus servicios a la municipalidad, siendo extensiva esta disposición a los familiares de los mismos empleados hasta el cuarto grado de consanguinidad y segundo de afinidad, cuando ellos sean dependiente de éste. </t>
  </si>
  <si>
    <t>La persona Encargada del Fondo Circulante podrá hacer pagos de gastos señalados en el inciso primero de este Artículo, contra recibos o facturas firmados por los recipientes y autorizados por el ordenador de pagos que designare El Concejo Municipal.</t>
  </si>
  <si>
    <t>Art. 32.- Todo funcionario o empleado encargado de recibir, custodiar o pagar bienes o valores municipales o cuyas atribuciones permitan o exijan su tenencia, será responsable de dolo o culpa, por la pérdida, daño, abuso, empleo o pago ilegal de ellos.  En consecuencia, será obligatoria la formulación de  inventarios parciales.</t>
  </si>
  <si>
    <t>Art. 25- Con el objeto de atender gastos de menor cuantía o de carácter urgente se crea el Fondo Circulante hasta por la cantidad de: QUINIENTOS 00/100 DOLARES ($ 500.00), que servirá para la compra de materiales de oficina, informáticos, libros, útiles de enseñanza, publicaciones, herramientas, repuestos, accesorios, materiales eléctricos, bienes de uso y consumo diversos, servicios de correo, pasajes al interior, viáticos por comisiones interna, mantenimientos y reparaciones de bienes muebles e inmuebles, mantenimientos y reparaciones de vehículos, impresiones, publicaciones y reproducciones, atenciones sociales, etc. Cuyo monto no exceda de  treinta y cinco  dólares  $35.00.</t>
  </si>
  <si>
    <t>(En Dólares de los Estados Unidos de América)</t>
  </si>
  <si>
    <t>Expedición de documentos de identifica.</t>
  </si>
  <si>
    <t>Denominación</t>
  </si>
  <si>
    <t>Cargos por remuneración de trabajos eventuales.</t>
  </si>
  <si>
    <t>Mantenimiento de Limpieza y chapeo  a los cementerios de Municipal de Chiltiupán y cementerio de Siberia, el cementerio de Julupe, pagándole $12.00 dólares cada día</t>
  </si>
  <si>
    <t xml:space="preserve">Mantenimiento y chapeo en dos veces al año, de la Finca la Veranera, y la Finca el Rosario pagándoles $12.00, dólares cada día </t>
  </si>
  <si>
    <t>(1) Área de Gestión</t>
  </si>
  <si>
    <t>(3) Línea de Trabajo</t>
  </si>
  <si>
    <r>
      <t xml:space="preserve">FUENTE O SUBFUENTE DE FINANCIAMIENTO:    </t>
    </r>
    <r>
      <rPr>
        <b/>
        <i/>
        <sz val="14"/>
        <color theme="0"/>
        <rFont val="Trebuchet MS"/>
        <family val="2"/>
      </rPr>
      <t xml:space="preserve"> RECURSOS PROPIOS</t>
    </r>
  </si>
  <si>
    <t>Multas por Registro Civil</t>
  </si>
  <si>
    <t>FODES - FF1</t>
  </si>
  <si>
    <t>0101 Dirección Superior</t>
  </si>
  <si>
    <t>0201  servicios Institucionales</t>
  </si>
  <si>
    <t>(5) Subcuenta de Financiamiento</t>
  </si>
  <si>
    <t>Monto. y  Reparaciones Vehículos</t>
  </si>
  <si>
    <t>Llantas y Neumáticos</t>
  </si>
  <si>
    <t xml:space="preserve">Herramienta, y accesorios </t>
  </si>
  <si>
    <t>Energía Eléctrica</t>
  </si>
  <si>
    <t>PROGRAMA: FOMENTO AL DEPORTE</t>
  </si>
  <si>
    <t xml:space="preserve">0401  inversión  </t>
  </si>
  <si>
    <t>A Gestión</t>
  </si>
  <si>
    <t xml:space="preserve">PAULA PALMA DE DE LEON </t>
  </si>
  <si>
    <t>RAFAEL EDGAR IRAHETA NAVIDAD</t>
  </si>
  <si>
    <t>SÍNDICA MUNICIPAL</t>
  </si>
  <si>
    <t>SEGUNDO REGIDOR</t>
  </si>
  <si>
    <t xml:space="preserve">CONCEPTO </t>
  </si>
  <si>
    <t>FECHA</t>
  </si>
  <si>
    <t>NOMBRE DE PROYECTO</t>
  </si>
  <si>
    <t>GASTOS DE ALCALDIA FEBRERO</t>
  </si>
  <si>
    <t>MONTO</t>
  </si>
  <si>
    <t xml:space="preserve">   </t>
  </si>
  <si>
    <t xml:space="preserve"> CUARTO REGIDOR</t>
  </si>
  <si>
    <t xml:space="preserve">ISRAEL GARCIA VALLADARES </t>
  </si>
  <si>
    <t>LIMPIEZA DE   CALLES</t>
  </si>
  <si>
    <t>SEGUNDO REGIDOR SUPLENTE</t>
  </si>
  <si>
    <t>Xenia Carolina Renderos Méndez</t>
  </si>
  <si>
    <t>Rodolfo Mejia García</t>
  </si>
  <si>
    <t>Pagar Bono en Junio de  FODES 120 Libre Disponibilidad</t>
  </si>
  <si>
    <t xml:space="preserve">Pagar aguinaldo con Fondos Propios </t>
  </si>
  <si>
    <t>LINEA DE TRABAJO: 0101 SERVICIOS EXTERNOS</t>
  </si>
  <si>
    <t>CHAPEO DE CEMENTERIOS Y DE LAS FINCAS</t>
  </si>
  <si>
    <t>Remuneración por trabajos eventuales</t>
  </si>
  <si>
    <t>SISTEMA REMUNERACIÓN</t>
  </si>
  <si>
    <t>Art. 13- Para los efectos de la ejecución y control de este presupuesto, se entenderán por gastos fijos, aquellos que se pagan por duodécima parte, correspondiendo una parte a cada mes, tales como los sueldos de empleados permanentes, dietas, aportaciones patronales a Instituciones de seguridad públicas y privadas, alquileres de inmuebles, servicios de energía eléctrica, agua potable, comunicaciones y otras contribuciones fijas, Etc.</t>
  </si>
  <si>
    <t xml:space="preserve">PROYECTO: ALUMBRADO PÚBLICO </t>
  </si>
  <si>
    <t xml:space="preserve">Compra de Materiales Eléctricos </t>
  </si>
  <si>
    <t>PROGRAMA: ACTUALIZACIÓN CATASTRAL</t>
  </si>
  <si>
    <t xml:space="preserve">SECTOR: INVERSIÓN SOCIAL </t>
  </si>
  <si>
    <t>INDICADOR: AUMENTO DE lA RECAUDACIÓN POR MES.</t>
  </si>
  <si>
    <t xml:space="preserve">NATURALEZA: PROYECTO DE INVERSIÓN SOCIAL </t>
  </si>
  <si>
    <t>PRESUPUESTO MUNICIPAL DE INVERSIÓN POR ESTRUCTURA PRESUPUESTARIA</t>
  </si>
  <si>
    <t>PROGRAMA: FOMENTO A LA EDUCACIÓN</t>
  </si>
  <si>
    <t>Contribuciones Patronales de Instituciones de Seguridad Pública.</t>
  </si>
  <si>
    <t>Concentración de la proyección de Recursos Humanos para el Año 2022</t>
  </si>
  <si>
    <t>ALCALDIA MUNCIPAL DE CHILTIUPÁN</t>
  </si>
  <si>
    <t xml:space="preserve"> 0202       Servicios externos</t>
  </si>
  <si>
    <t xml:space="preserve"> 0201  Servicios Institucionales</t>
  </si>
  <si>
    <t xml:space="preserve">  0101  Dirección y Administración Municipal</t>
  </si>
  <si>
    <t>Nota: La diferencia  entre la Proyección y la Concentración de recursos humanos, se da por el redondeo a la decena superior para efectos de presupuesto.</t>
  </si>
  <si>
    <t>SECTOR: ECONÓMICO</t>
  </si>
  <si>
    <t>Distribución del gasto presupuestado en personal, por líneas de trabajo, y por fuente de recursos</t>
  </si>
  <si>
    <t>Rosa Maria Badío Garcia</t>
  </si>
  <si>
    <t xml:space="preserve">Joselin Marleni Diaz Ayala </t>
  </si>
  <si>
    <t>Sumatoria de  de Y entre 5 años</t>
  </si>
  <si>
    <t>Sumatoria de XY entre 10, 10 es un factor ya definido para esta fórmula</t>
  </si>
  <si>
    <t>Esto es  el  producto de  a  y  b</t>
  </si>
  <si>
    <t>Fórmula =  a+bx</t>
  </si>
  <si>
    <t>Chiltiupan7358-Luxenmb/-Inclusión Financiera y prod-2019/Pes/Eep</t>
  </si>
  <si>
    <t>A  Instit. De Seg.Pública</t>
  </si>
  <si>
    <t>0101   'Tranf. Sector Público. INSAFORP</t>
  </si>
  <si>
    <t>Policía Municipal</t>
  </si>
  <si>
    <t xml:space="preserve"> Pagar  10  Meses con  </t>
  </si>
  <si>
    <t>SUPERVISION DE INFRAESTRUCTURA</t>
  </si>
  <si>
    <t xml:space="preserve">NATURALEZA: PROYECTO DE INVERSIÓN ECÓNOMICA  </t>
  </si>
  <si>
    <t>INDICADOR: PORCENTAJE DE HABITANTES CON VIDA SANA.</t>
  </si>
  <si>
    <t>INDICADOR: CANTIDAD DE VISITANTES ATRAÍDOS POR EL CAMBIO DEL MUNICIPIO.</t>
  </si>
  <si>
    <t>INDICADOR: CANTIDAD DE ESTUDIANTES TITULADOS DEL MUNICIPIO.</t>
  </si>
  <si>
    <t>INDICADOR: PORCENTAJE DE TERRITORIO ILUMINADO Y GENTE SATISFECHA.</t>
  </si>
  <si>
    <t>PROYECTO: FOMENTO A LA SEGURIDAD Y PREVENCIÓN DE LA VIOLENCIA EN LAS INSTALACIONES MUNICIPALES, INVERSIONES DE PROYECTOS Y PARTICIPACIÓN CIUDADANA CON EL APOYO DE LA PNC.</t>
  </si>
  <si>
    <t>INDICADOR: SATISFACCIÓN DE LOS VISITANTES A LA MUNICIPALIDAD POR LA SEGURIDAD BRINDADA.</t>
  </si>
  <si>
    <t>INDICADOR: PORCENTAJE DE POBLACIÓN SATISFECHA CON LAS FIESTAS</t>
  </si>
  <si>
    <t>INDICADOR: PORCENTAJE DE JÓVENES SATISFECHOS POR EL PROYECTO</t>
  </si>
  <si>
    <t>PROYECTO: UNIDAD DE  MEDIO AMBIENTE, AGRICULTURA Y PROTECCIÓN CIVIL</t>
  </si>
  <si>
    <t>PROGRAMA: UNIDAD  DE MEDIO AMBIENTE, AGRICULTURA Y PROTECCIÓN CIVIL</t>
  </si>
  <si>
    <t>PROYECTO: REPARACIÓN DE CAMINOS Y ORNAMENTO DEL MUNICIPIO</t>
  </si>
  <si>
    <t>Maquinaria y Equipo para la Producción.</t>
  </si>
  <si>
    <t>PROGRAMA: REPARACIÓN DE CAMINOS Y ORNAMENTO DEL MUNICIPIO</t>
  </si>
  <si>
    <t>RECOLECCIÓN Y DISPOSICION FINAL DE DESECHOS SOLIDOS</t>
  </si>
  <si>
    <t>CASA DE ENCUENTRO JUVENIL DE CHILTIUPÁN</t>
  </si>
  <si>
    <t>MANTENIMIENTO DE CEMENTERIO GENERAL DE CHILTIUPÁN</t>
  </si>
  <si>
    <t>PROYECTO: RECOLECCION Y DISPOSICIÓN FINAL DE DESECHOS SÓLIDOS</t>
  </si>
  <si>
    <t>PROGRAMA: RECOLECCIÓN Y DISPOSICIÓN FINAL DE DESECHOS SÓLIDOS</t>
  </si>
  <si>
    <t>PROYECTO: ACTUALIZACIÓN CATASTRAL</t>
  </si>
  <si>
    <t>META: MEJORAR EL ALUMBRADO EN LOS PUNTOS ESTRATEGICOS PARA CONTRARRESTAR LA DELINCUENCIA</t>
  </si>
  <si>
    <t>INDICADOR: CANTIDAD DE CAMINOS DIGNOS PARA LA POBLACIÓN.</t>
  </si>
  <si>
    <t>Materiales metálicos</t>
  </si>
  <si>
    <t>Miner. Metálicos y Productos Derivados.</t>
  </si>
  <si>
    <r>
      <rPr>
        <b/>
        <sz val="10"/>
        <rFont val="Arial"/>
        <family val="2"/>
      </rPr>
      <t>META</t>
    </r>
    <r>
      <rPr>
        <sz val="10"/>
        <rFont val="Arial"/>
        <family val="2"/>
      </rPr>
      <t xml:space="preserve">: VELAR POR LA SEGURIDAD DE LA POBLACIÓN DE CHILTIUPÁN CON EL APOYO DE LA FUERZA ARMADA, PNC Y CAM. </t>
    </r>
  </si>
  <si>
    <r>
      <rPr>
        <b/>
        <sz val="10"/>
        <rFont val="Arial"/>
        <family val="2"/>
      </rPr>
      <t>META</t>
    </r>
    <r>
      <rPr>
        <sz val="10"/>
        <rFont val="Arial"/>
        <family val="2"/>
      </rPr>
      <t>: AYUDAR A ESTUDIANTES QUE TENGAN DESEOS DE SUPERACIÓN ACADÉMICA.</t>
    </r>
  </si>
  <si>
    <r>
      <rPr>
        <b/>
        <sz val="9"/>
        <rFont val="Arial"/>
        <family val="2"/>
      </rPr>
      <t>META</t>
    </r>
    <r>
      <rPr>
        <sz val="9"/>
        <rFont val="Arial"/>
        <family val="2"/>
      </rPr>
      <t>:</t>
    </r>
    <r>
      <rPr>
        <sz val="10"/>
        <rFont val="Arial"/>
        <family val="2"/>
      </rPr>
      <t xml:space="preserve"> MANTENER LIMPIO EL MUNICIPIO DE TAL MANERA QUE LOS VISITANTES SE LLEVEN BUENA IMPRESIÓN.</t>
    </r>
  </si>
  <si>
    <r>
      <rPr>
        <b/>
        <sz val="10"/>
        <rFont val="Arial"/>
        <family val="2"/>
      </rPr>
      <t>META</t>
    </r>
    <r>
      <rPr>
        <sz val="10"/>
        <rFont val="Arial"/>
        <family val="2"/>
      </rPr>
      <t>: REALIZAR UNA FIESTA QUE LOS HABITANTES DISFRUTEN AL MÁXIMO</t>
    </r>
  </si>
  <si>
    <r>
      <rPr>
        <b/>
        <sz val="10"/>
        <rFont val="Arial"/>
        <family val="2"/>
      </rPr>
      <t>META</t>
    </r>
    <r>
      <rPr>
        <sz val="10"/>
        <rFont val="Arial"/>
        <family val="2"/>
      </rPr>
      <t>: GENERAR INGRESOS A LA ALCALDIA DE ACUERDO A LA ORDENANZA RREALIZADA CON ESTE PROYECTO.</t>
    </r>
  </si>
  <si>
    <r>
      <rPr>
        <b/>
        <sz val="10"/>
        <rFont val="Arial"/>
        <family val="2"/>
      </rPr>
      <t>META</t>
    </r>
    <r>
      <rPr>
        <sz val="10"/>
        <rFont val="Arial"/>
        <family val="2"/>
      </rPr>
      <t xml:space="preserve">: MANTENER LA CANCHA SIEMPRE EN BUEN ESTADO Y LIMPIA PARA LOS DIFERENTES TORNEOS O ENCUENTROS DE DIFERENTES COMUNIDADES. </t>
    </r>
  </si>
  <si>
    <r>
      <rPr>
        <b/>
        <sz val="10"/>
        <rFont val="Arial"/>
        <family val="2"/>
      </rPr>
      <t>META</t>
    </r>
    <r>
      <rPr>
        <sz val="10"/>
        <rFont val="Arial"/>
        <family val="2"/>
      </rPr>
      <t>: GARANTIZAR UN DESARROLLO SANO PARA LOS JÓVENES DEL MUNICIPIO, BRINDANDOLES IMPLEMENTOS DE DISTRACCIÓN.</t>
    </r>
  </si>
  <si>
    <r>
      <rPr>
        <b/>
        <sz val="10"/>
        <rFont val="Arial"/>
        <family val="2"/>
      </rPr>
      <t>META</t>
    </r>
    <r>
      <rPr>
        <sz val="10"/>
        <rFont val="Arial"/>
        <family val="2"/>
      </rPr>
      <t>: DESARROLLAR AL MUNICIPIO DE TAL MANERA QUE CHILTIUPÁN SEA RECONOCIDO EN LOS DIFERENTES DEPARTAMENTOS.</t>
    </r>
  </si>
  <si>
    <r>
      <rPr>
        <b/>
        <sz val="10"/>
        <rFont val="Arial"/>
        <family val="2"/>
      </rPr>
      <t>META</t>
    </r>
    <r>
      <rPr>
        <sz val="10"/>
        <rFont val="Arial"/>
        <family val="2"/>
      </rPr>
      <t xml:space="preserve">: VELAR POR EL CUIDADO DEL MEDIO AMBIENTE EN EL MUNICIPIO Y ATENDER AL LLAMADO URGENTE DE LOS HABITANTES EN SITUACIONES CLIMÁTICAS Y DESASTRES NATURALES.                       </t>
    </r>
  </si>
  <si>
    <r>
      <rPr>
        <b/>
        <sz val="10"/>
        <rFont val="Arial"/>
        <family val="2"/>
      </rPr>
      <t>META</t>
    </r>
    <r>
      <rPr>
        <sz val="10"/>
        <rFont val="Arial"/>
        <family val="2"/>
      </rPr>
      <t>: MANTENER EN BUEN ESTADO LOS CAMINOS VECINALES DEL MUNICIPIO PARA QUE LOS HABITANTES PUEDAN SACAR SUS CULTIVOS SIN NINGÚN INCONVENIENTE.</t>
    </r>
  </si>
  <si>
    <t>NOTA: LAS CIFRAS PRESUPUESTARIAS Y MONTOS PUEDEN VARIAR AL ELABORAR LA CARPETA TÉCNICA.</t>
  </si>
  <si>
    <t>5 paginas</t>
  </si>
  <si>
    <t xml:space="preserve">7 paginas </t>
  </si>
  <si>
    <t>9 paginas</t>
  </si>
  <si>
    <t>12 paginas</t>
  </si>
  <si>
    <t>14 paginas</t>
  </si>
  <si>
    <t>METODO  DE REGRESIÓN LINEAL</t>
  </si>
  <si>
    <t>( INGRESO DE FONDOS PROPIOS, EN  LOS  ÚLTIMOS  5 AÑOS  )</t>
  </si>
  <si>
    <t>ALCALDIA MUNCIPAL DE CHILTIUPÁN, DEPARTAMENTO DE  LA LIBERTAD</t>
  </si>
  <si>
    <t xml:space="preserve">EN DÓLARES DE LOS ESTADOS UNIDOS DE AMÉRICA </t>
  </si>
  <si>
    <t>Seguridad Social Pública</t>
  </si>
  <si>
    <t>ISSS</t>
  </si>
  <si>
    <t>0401 inversión</t>
  </si>
  <si>
    <t>Dietas a Regidores y Síndico</t>
  </si>
  <si>
    <t>FORMULACIÓN DEL PRESUPUESTO MUNICIPAL DE EGRESOS</t>
  </si>
  <si>
    <t xml:space="preserve"> TOTAL</t>
  </si>
  <si>
    <t>FUENTE O SUBFUENTE DE FINANCIAMIENTO: GASTOS DE ADMINISTRACION120- LIBRE DISPONIBILIDAD.</t>
  </si>
  <si>
    <t>MAQUINARIA Y EQUIPO PARA LA PRODUCCIÓN</t>
  </si>
  <si>
    <t>ALUMBRADO PÚBLICO</t>
  </si>
  <si>
    <t>TRANSPORTES, FLETES Y ALMACENIMIENTO</t>
  </si>
  <si>
    <t>ENERGIA ELÉCTRICA</t>
  </si>
  <si>
    <t>HERRAMIENTAS, REPUESTOS Y ACSESORIAS</t>
  </si>
  <si>
    <t>MATERIALES INFORMÁTICOS</t>
  </si>
  <si>
    <t xml:space="preserve">MINERALES METÁLICOS </t>
  </si>
  <si>
    <t>PRODUCTOS QUÍMICOS</t>
  </si>
  <si>
    <t>MEJORAMIENTO DE PARQUE MUNICIPAL</t>
  </si>
  <si>
    <t>Cuentas por cobrar de años anteriores</t>
  </si>
  <si>
    <t>Comisiones y gastos bancarios</t>
  </si>
  <si>
    <t>Productos textiles y vestuarios</t>
  </si>
  <si>
    <t>Salario</t>
  </si>
  <si>
    <t>Productos químicos</t>
  </si>
  <si>
    <t>AÑO 2023</t>
  </si>
  <si>
    <t>FECHA DE INICIO/FINALIZACIÓN: 01/01/2023 - 31/12/2023</t>
  </si>
  <si>
    <t>FECHA DE INICIO/FINALIZACIÓN : 01/01/2023 - 31/12/2023</t>
  </si>
  <si>
    <t>DETALLE DE PROYECTOS A EJECUTAR  EN EL AÑO 2023</t>
  </si>
  <si>
    <t>Fomento a la Seguridad en las instalaciones municipales</t>
  </si>
  <si>
    <t>PROYECTO: COMITÉ LOCAL DE DERECHOS DE LA NIÑEZ Y ADOLESCENCIA Y UNIDAD DE LA MUJER</t>
  </si>
  <si>
    <t>PROYECTO: FOMENTO A LA SEGURIDAD EN LAS INSTALACIONES MUNICIPALES</t>
  </si>
  <si>
    <t>Mantenimiento a la cancha de fútbol el bambú y Cementerio General de Chiltiupán</t>
  </si>
  <si>
    <t>Jairo Ingles Dominguez Galdamez</t>
  </si>
  <si>
    <t>Auxiliar Catastro</t>
  </si>
  <si>
    <t>4- Para el pago del suministro de agua, se asignará a una persona para el Cantón Taquillo, La Camaronera, Cantón las Flores y otro en caserío Corinto pagándole a $12.00. dólares cada día.</t>
  </si>
  <si>
    <t>SUMINISTRO DE AGUA EN EL COCO Y LAS PACAYAS</t>
  </si>
  <si>
    <t>TRABAJOS EVENTUALES</t>
  </si>
  <si>
    <t>VALOR DE DOS REUNIONES MENSUALES</t>
  </si>
  <si>
    <t>EN EL MES DE JUNIO UNA REUNIÓN EXTRAORDINARIA</t>
  </si>
  <si>
    <t>EN EL MES DE DICIEMBRE UNA REUNIÓN  EXTRAORDINARIA</t>
  </si>
  <si>
    <t xml:space="preserve">TOTAL POR LOS 12 MESES </t>
  </si>
  <si>
    <t>TOTAL ANUAL</t>
  </si>
  <si>
    <t>TOTAL CON DEDUCCIONES DE LEY</t>
  </si>
  <si>
    <t xml:space="preserve">PROYECTO: MANTENIMIENTO A LA  CANCHA DE FUTBOL EL BAMBÚ Y CEMENTERIO GENERAL DE CHILTIUPAN </t>
  </si>
  <si>
    <t>Art. 4.- El registro y control de la ejecución del presente Presupuesto se realizará a través del Sistema de Administración Financiera Municipal. (SAFIM) implementado por la Dirección General de Contabilidad Gubernamental del Ministerio de Hacienda, a partir del 1° enero 2023,  atendiendo la normativa y las disposiciones  legales aplicables, para satisfacer las necesidades de información y documentación  de las operaciones y facilitar el  control que ejercerán tanto la auditoria Interna, así  como de la Corte de Cuentas de la República.</t>
  </si>
  <si>
    <t>APERTURADA 120</t>
  </si>
  <si>
    <t>APERTURADA 216</t>
  </si>
  <si>
    <t>51</t>
  </si>
  <si>
    <t>07</t>
  </si>
  <si>
    <t>216</t>
  </si>
  <si>
    <t xml:space="preserve">Barrenderos, 2- en la zona urbana y 2-En  el Zonte a $12.00 el día </t>
  </si>
  <si>
    <t>Marvin Manzanares</t>
  </si>
  <si>
    <t>Motorista</t>
  </si>
  <si>
    <t>Servicios de Energía Electrica</t>
  </si>
  <si>
    <t>Servicios de agua</t>
  </si>
  <si>
    <t>Servicios de Telecomunicaciones</t>
  </si>
  <si>
    <t>PROYECTO: SERVICIO DE RECOLECCIÓN Y DISPOSICIÓN FINAL DE DESECHOS SOLIDOS</t>
  </si>
  <si>
    <t>Servicios Generales y Arrendamientos Diversos (Puerto de La Libertad)</t>
  </si>
  <si>
    <t>APERTURADA  CON $10,000.00 216</t>
  </si>
  <si>
    <t>51701</t>
  </si>
  <si>
    <t>INDEMNIZACIONES</t>
  </si>
  <si>
    <r>
      <t xml:space="preserve">FUENTE  DE FINANCIAMIENTO:   </t>
    </r>
    <r>
      <rPr>
        <b/>
        <i/>
        <sz val="12"/>
        <color theme="0"/>
        <rFont val="Trebuchet MS"/>
        <family val="2"/>
      </rPr>
      <t xml:space="preserve"> 216 FONDO DE APOYO MUNICIPAL</t>
    </r>
  </si>
  <si>
    <t>PROGRAMA DE APOYO SOCIAL DIVERSO</t>
  </si>
  <si>
    <t>ACTUALIZACION CATASTRAL</t>
  </si>
  <si>
    <t>MANTENIMIENTO DE CANCHA EL BAMBU</t>
  </si>
  <si>
    <t>FOMENTO AL DEPORTE</t>
  </si>
  <si>
    <t>FOMENTO AL TURISMO</t>
  </si>
  <si>
    <t>UNIDAD DE MEDIO AMBIENTE, AGRICULTURA Y PROTECCION CIVIL</t>
  </si>
  <si>
    <t>CARPETAS TECNICAS</t>
  </si>
  <si>
    <t>REPARACION DE CAMINOS Y ORNAMENTO DEL MUNICIPIO</t>
  </si>
  <si>
    <t>UNIDAD DE LA MUJER</t>
  </si>
  <si>
    <t>COMPRA DE TERRENOS</t>
  </si>
  <si>
    <t>CONSTRUCCION DE MUROS DE RETENCION EN LA ZONA URBANA</t>
  </si>
  <si>
    <t>FONDO DE APOYO MUNICIPAL DECRETO NO 477</t>
  </si>
  <si>
    <t>ASISTENCIA A LOS HOGARES DEL MUNICIPIO DE CHILTIUPAN, CON OBRAS DE MITIGACION AFECTADOS POR LA TORMENTA TROPICAL AMANDA</t>
  </si>
  <si>
    <t>PLAN ANUAL DEL COMITÉ LOCAL DE DERECHOS DE LA NIÑEZ Y ADOLESCENCIA-2021</t>
  </si>
  <si>
    <t>CASA DE ENCUENTRO JUVENIL DE CHILTIUPÁN 2021</t>
  </si>
  <si>
    <t>EMERGENCIA POR COVID-19 Y ALERTA ROJA POR TORMENTA TROPICAL AMANDA (DECRETO 608)</t>
  </si>
  <si>
    <t>FONDO PARA ATENDER EMERGENCIA COVID-19 Y RECUPERACION ECONOMICA</t>
  </si>
  <si>
    <t>TALLERES DE PREVENCION A LA VIOLENCIA  PARA JOVENES DEL MUNICIPIO  DE CHILTIUPAN</t>
  </si>
  <si>
    <t>MEJORAMIENTO DE CEMENTERIOS MUNICIPALES</t>
  </si>
  <si>
    <t>FODES 120 LIBRE DISPONIBILIDAD</t>
  </si>
  <si>
    <t xml:space="preserve"> FODES,  PARA ADMINISTRACION</t>
  </si>
  <si>
    <t>GASTOS DE ADMINISTRACION/PLANILLERA</t>
  </si>
  <si>
    <t xml:space="preserve">Nota: para efectos de  preparación del  presupuesto, se  utilizó el Ingreso del año 2022                                  </t>
  </si>
  <si>
    <r>
      <rPr>
        <b/>
        <sz val="9"/>
        <rFont val="Arial"/>
        <family val="2"/>
      </rPr>
      <t>META</t>
    </r>
    <r>
      <rPr>
        <sz val="9"/>
        <rFont val="Arial"/>
        <family val="2"/>
      </rPr>
      <t>:</t>
    </r>
    <r>
      <rPr>
        <sz val="10"/>
        <rFont val="Arial"/>
        <family val="2"/>
      </rPr>
      <t xml:space="preserve"> SUBSIDIAR A LOS HABITANTES CON EL PAGO DE DISPOSICION FINAL DE DESECHOS SOLIDOS.</t>
    </r>
  </si>
  <si>
    <t>Comisiones y Gastos Bancarios</t>
  </si>
  <si>
    <t>DETALLE DE PROYECTO A EJECUTAR  EN EL AÑO 2023</t>
  </si>
  <si>
    <r>
      <t xml:space="preserve">INVERSION SOCIAL: </t>
    </r>
    <r>
      <rPr>
        <u/>
        <sz val="16"/>
        <rFont val="Arial"/>
        <family val="2"/>
      </rPr>
      <t>DETALLE DE PROYECTOS A EJECUTAR CORRESPONDIENTES AL 2023</t>
    </r>
  </si>
  <si>
    <t>SUELDO DE ENE- A DIC - 2023</t>
  </si>
  <si>
    <t>SUELDO DE ENE- DIC, 2023</t>
  </si>
  <si>
    <t>FONDO DE APOYO MUNICIPAL 216 DECRETO 477</t>
  </si>
  <si>
    <r>
      <t xml:space="preserve">DISPONIBLIDAD AL 31/12/22 según </t>
    </r>
    <r>
      <rPr>
        <sz val="12"/>
        <color theme="0"/>
        <rFont val="Cambria"/>
        <family val="1"/>
        <scheme val="major"/>
      </rPr>
      <t>E</t>
    </r>
    <r>
      <rPr>
        <b/>
        <sz val="12"/>
        <color theme="0"/>
        <rFont val="Cambria"/>
        <family val="1"/>
        <scheme val="major"/>
      </rPr>
      <t xml:space="preserve">stados de </t>
    </r>
    <r>
      <rPr>
        <sz val="12"/>
        <color theme="0"/>
        <rFont val="Cambria"/>
        <family val="1"/>
        <scheme val="major"/>
      </rPr>
      <t>C</t>
    </r>
    <r>
      <rPr>
        <b/>
        <sz val="12"/>
        <color theme="0"/>
        <rFont val="Cambria"/>
        <family val="1"/>
        <scheme val="major"/>
      </rPr>
      <t>ta..</t>
    </r>
  </si>
  <si>
    <t>PROYECCION DE DISPONIBILIDAD  DE FONDOS PARA EL EJERCICIO 2023</t>
  </si>
  <si>
    <t>Servicios básicos (Agua)</t>
  </si>
  <si>
    <t>Multas de Registro del Estado Familiar</t>
  </si>
  <si>
    <t>Impuestos años anteriores</t>
  </si>
  <si>
    <t>Tasas años anteriores</t>
  </si>
  <si>
    <t xml:space="preserve">TOTAL A PAGAR CON FODES 120       </t>
  </si>
  <si>
    <t>PROYECCIÓN DE RECURSOS HUMANOS PARA EL AÑO 2023</t>
  </si>
  <si>
    <t xml:space="preserve"> Pagar  10  Meses con Gastos de Administración</t>
  </si>
  <si>
    <t>Pagar en Junio  bono con Fondo Municipal</t>
  </si>
  <si>
    <t xml:space="preserve">Jose Maria Garcia Alemán </t>
  </si>
  <si>
    <t>Bono en Junio  2023</t>
  </si>
  <si>
    <t>FECHA DE INICIO/FINALIZACION : 01/01/2023 - 31/12/2023</t>
  </si>
  <si>
    <t>COMITÉ LOCAL DE DERECHOS DE LA NIÑEZ Y ADOLESCENCIA Y UNIDAD DE LA MUJER</t>
  </si>
  <si>
    <t>FOMENTO A LA EDUCACIÓN</t>
  </si>
  <si>
    <t>SALDO DEL BANCOS AL 31/12/2022</t>
  </si>
  <si>
    <t xml:space="preserve">SALDO DEL BANCOS AL 31/12/2022,  GASTOS DE ADMINISTRACION </t>
  </si>
  <si>
    <t>FONDO APOYO MUNICIPAL</t>
  </si>
  <si>
    <t>LISTADO  DE  CUENTAS  BANCARIAS  Y  SUS  SALDOS AL  31  DE  DICIEMBRE  DE  2022</t>
  </si>
  <si>
    <t>FONDO DE APOYO MUNICIPAL</t>
  </si>
  <si>
    <t>ASIGNACION FONDO DE APOYO MUNICIPAL</t>
  </si>
  <si>
    <t>Sueldo</t>
  </si>
  <si>
    <t>SERVICIO DE RECOLECCION DE DESECHOS SOLIDOS</t>
  </si>
  <si>
    <t>SERVICIOS BASICOS DE ENERGIA ELECTRICA, AGUA Y TELECOMUNICACIONES</t>
  </si>
  <si>
    <t>PROYECTO: SERVICIOS BASICOS DE ENERGIA ELECTRICA, AGUA Y TELECOMUNICACIONES</t>
  </si>
  <si>
    <t>COMISIONES Y GASTOS BANCARIOS</t>
  </si>
  <si>
    <t>ARREENDAMIENTO DE BIENES MUEBLES</t>
  </si>
  <si>
    <t>A ORGANISMOS SIN FINES DE LUCRO</t>
  </si>
  <si>
    <t>Este  es el monto que se espera  recaudar en el año 2023</t>
  </si>
  <si>
    <t>FECHA DE INICIO/FINALIZACIÓN : 01/01/2023 - 31/12/20223</t>
  </si>
  <si>
    <t>216 FONDO DE APOYO MUNICIPAL</t>
  </si>
  <si>
    <t>Transferencias Corrientes de FAM</t>
  </si>
  <si>
    <t xml:space="preserve">                                                                                                             </t>
  </si>
  <si>
    <t>ESTIMADO DE INGRESOS PROPIOS,  UTILIZANDO, COMO REFERENCIA EL AÑO 2023</t>
  </si>
  <si>
    <t xml:space="preserve">SALDO PENDIENTE DE TRANSFERIR </t>
  </si>
  <si>
    <t xml:space="preserve">SALDO EN BANCOS AL 31/12/2022,  120-LIBRE DISPONIBILIDAD </t>
  </si>
  <si>
    <t>Será el incremento a cada  objeto específico de los ingresos del año 2023</t>
  </si>
  <si>
    <t>Y= Ingresos  del año 2023,proyectado</t>
  </si>
  <si>
    <t xml:space="preserve"> Y  DETERMINAR  EL PROMEDIO ESTIMADO DE INGRESOS DEL AÑO  2023</t>
  </si>
  <si>
    <t xml:space="preserve">Servicio de Energía Electrica </t>
  </si>
  <si>
    <t>PROYECTO: SERVICIO DE ALUMBRADO PÚBLICO</t>
  </si>
  <si>
    <t>SERVICIO DE ALUMBRADO PÚBLICO</t>
  </si>
  <si>
    <t>TOTAL INVERSION  FONDO DE APOYO MUNICIPAL</t>
  </si>
  <si>
    <t xml:space="preserve"> PRESUPUESTO MUNICIPAL DE EGRESOS  AÑO 2023</t>
  </si>
  <si>
    <t>120 Y GASTOS DE ADMIN.</t>
  </si>
  <si>
    <t>216 FAM DECRETO 477</t>
  </si>
  <si>
    <t>PROYECTOS A EJECUTAR EN 2023</t>
  </si>
  <si>
    <t>Art. 34.-En el ejercicio 2023 Los miembros del Concejo Municipal,  que asistan a las reuniones mensuales a las que previamente sean convocados, tendrán derecho al cobro de una Dieta por cada reunión    así:      Regidor   Propietario  $360.00 Dólares    y   Regidor  Suplente     $ 280.00  dólares.  Y  serán remuneradas  solo  dos ( 2) sesiones  por mes,  de  Enero a Mayo, en el mes de  Junio, abran tres reuniones remuneradas. de Julio a Noviembre abran dos reuniones remuneradas y en  Diciembre tres reuniones remuneradas.</t>
  </si>
  <si>
    <t>Art. 36 .- El presente decreto entrará en vigencia a partir del día  uno  de Enero del año dos mil veintitres.</t>
  </si>
  <si>
    <t>SUMARIO DE INGRESOS PARA EL AÑO 2023</t>
  </si>
  <si>
    <t>SUMARIO DE EGRESOS PARA EL AÑO 2023</t>
  </si>
  <si>
    <t>51-07-01- 01            FONDO DE APOYO MUNICIPAL 216 DECRETO 477</t>
  </si>
  <si>
    <t>MATERIALES NO METALICOS</t>
  </si>
  <si>
    <t>MATERIALES METALICOS</t>
  </si>
  <si>
    <t>LAS FUNCIONES, COBROS, ESPECIES, RESPONSABILIDADES Y PROHIBICIONES EN TESORERIA MUNICIPAL</t>
  </si>
  <si>
    <t>DE LOS ASUETOS, VACACIONES, LICENCIAS, ANTICIPOS, DESCUENTOS VIATICOS Y SUBSIDIOS</t>
  </si>
  <si>
    <t>DE LOS NOMBRAMIENTOS DE FUNCIONARIOS, EMPLEADOS Y OTROS COMPROMISOS</t>
  </si>
  <si>
    <t>Art. 31- Para el presente presupuesto , son  Servicios    de  Carácter Eventual  y  sus honorarios estarán considerados  en la cifra  presupuestaria  especifica correspondiente , toda persona natural  o jurídica , contratada  para realizar actividades  o funciones  relacionadas  con su formación profesional o técnica, sin subordinación ,   más que solamente  presentar a satisfacción  del  contratante  el producto  o servicio para el que fue contratado, de acuerdo a las siguientes condiciones:</t>
  </si>
  <si>
    <t>PARA  LA  PROYECCIÓN  DE INGRESOS DEL   AÑO    2023</t>
  </si>
  <si>
    <t xml:space="preserve"> PRESUPUESTO MUNICIPAL DE INGRESOS AÑO  2023</t>
  </si>
  <si>
    <t xml:space="preserve"> PRESUPUESTO MUNICIPAL DEL AÑO  2023</t>
  </si>
  <si>
    <t>REHABILITACION Y MANTENIMIENTO DE CALLES Y CAMINOS VECINALES DEL MUNICIPIO</t>
  </si>
  <si>
    <t>Carpetas Técnicas Chiltiupán</t>
  </si>
  <si>
    <r>
      <t xml:space="preserve">INFRAESTRUCTURA SOCIAL: </t>
    </r>
    <r>
      <rPr>
        <u/>
        <sz val="14"/>
        <rFont val="Arial"/>
        <family val="2"/>
      </rPr>
      <t>DETALLE DE PROYECTOS A EJECUTAR CORRESPONDIENTES AL 2023</t>
    </r>
  </si>
  <si>
    <t>NOTA: LAS CIFRAS PRESUPUESTARIAS Y MONTOS PUEDEN VARIAR CON RESPECTO A LAS ENTRADAS DEL 5% QUE SE LES COBRA A LOS CONTRIBUYENTES PARA CELEBRACION DE FIESTAS PATRONALES</t>
  </si>
  <si>
    <r>
      <t xml:space="preserve">EL PRESUPUESTO MUNICIPAL, </t>
    </r>
    <r>
      <rPr>
        <sz val="11"/>
        <rFont val="Arial"/>
        <family val="2"/>
      </rPr>
      <t>para el ejercicio</t>
    </r>
    <r>
      <rPr>
        <b/>
        <sz val="11"/>
        <rFont val="Arial"/>
        <family val="2"/>
      </rPr>
      <t xml:space="preserve"> </t>
    </r>
    <r>
      <rPr>
        <sz val="11"/>
        <rFont val="Arial"/>
        <family val="2"/>
      </rPr>
      <t>que inicia el uno de enero y finaliza el treinta y uno de diciembre del año dos mil Veintitres, así:</t>
    </r>
  </si>
  <si>
    <r>
      <t>a)</t>
    </r>
    <r>
      <rPr>
        <sz val="11"/>
        <rFont val="Arial"/>
        <family val="2"/>
      </rPr>
      <t>        Que sean de carácter profesional o técnico y no de índole administrativa;</t>
    </r>
  </si>
  <si>
    <r>
      <t>b)</t>
    </r>
    <r>
      <rPr>
        <sz val="11"/>
        <rFont val="Arial"/>
        <family val="2"/>
      </rPr>
      <t>        Que las labores a desempeñar por el contratista sean propias de su profesión o técnica; y</t>
    </r>
  </si>
  <si>
    <r>
      <t>c)</t>
    </r>
    <r>
      <rPr>
        <sz val="11"/>
        <rFont val="Arial"/>
        <family val="2"/>
      </rPr>
      <t>        Que aún cuando sean de carácter profesional o técnico no constituyan una actividad regular y continua dentro de la entidad contratante.</t>
    </r>
  </si>
  <si>
    <r>
      <t>b)</t>
    </r>
    <r>
      <rPr>
        <sz val="11"/>
        <rFont val="Arial"/>
        <family val="2"/>
      </rPr>
      <t>        Se entenderá que una persona ha tomado posesión de su cargo, cuando asuma los deberes y responsabilidades del mismo; y que deja de ocuparlo, en el momento en que cesa de cumplir sus deberes y de incurrir en responsabilidades con relación a su puesto oficial.</t>
    </r>
  </si>
  <si>
    <r>
      <t>c)</t>
    </r>
    <r>
      <rPr>
        <sz val="11"/>
        <rFont val="Arial"/>
        <family val="2"/>
      </rPr>
      <t xml:space="preserve">        El Alcalde o funcionario designado al efecto, no dará posesión de su cargo a funcionarios o empleados que estando  obligados  por tener  la  custodia de  Fondos Públicos , no hayan presentado </t>
    </r>
    <r>
      <rPr>
        <b/>
        <sz val="11"/>
        <rFont val="Arial"/>
        <family val="2"/>
      </rPr>
      <t>Fianza  de Fidelidad</t>
    </r>
    <r>
      <rPr>
        <sz val="11"/>
        <rFont val="Arial"/>
        <family val="2"/>
      </rPr>
      <t xml:space="preserve"> a satisfacción de la Municipalidad.</t>
    </r>
  </si>
  <si>
    <r>
      <t>d)</t>
    </r>
    <r>
      <rPr>
        <sz val="11"/>
        <rFont val="Arial"/>
        <family val="2"/>
      </rPr>
      <t>        El funcionario que ordenare y el que diere posesión incumpliendo las condiciones expresadas en el literal   anterior, responderá solidariamente con el nombrado por toda pérdida de bienes que sufra la Entidad, en el período de la fecha de  toma de posesión incorrecta, y el de la a autorización de la toma de posesión legal, por no haber  exigido  la Fianza de Fidelidad  a satisfacción de la expresada Municipalidad.</t>
    </r>
  </si>
  <si>
    <r>
      <t>e)</t>
    </r>
    <r>
      <rPr>
        <sz val="11"/>
        <rFont val="Arial"/>
        <family val="2"/>
      </rPr>
      <t>        Por regla general se entenderá que el acuerdo por el cual se separa a una persona de determinado empleo, da fin a las relaciones jurídicas existentes entre la entidad y el empleado, mas si se trata de cargos que por su índole especial no pueden permanecer vacantes, sin causar perjuicios a la Administración, dichas relaciones subsistirán mientras no se presente a tomar posesión el sustituto designado legalmente, en cuyo caso debe tenerse como en posesión legal de su cargo el empleado saliente.</t>
    </r>
  </si>
  <si>
    <r>
      <t>f)</t>
    </r>
    <r>
      <rPr>
        <sz val="11"/>
        <rFont val="Arial"/>
        <family val="2"/>
      </rPr>
      <t xml:space="preserve">        Las remuneraciones basadas en contratos se podrán pagar por medio de planillas en la misma fecha en que se efectúe el pago de los salarios del personal permanente. </t>
    </r>
  </si>
  <si>
    <r>
      <t>g)</t>
    </r>
    <r>
      <rPr>
        <sz val="11"/>
        <rFont val="Arial"/>
        <family val="2"/>
      </rPr>
      <t>          Los contratos a que se refiere este Artículo no podrán firmarse por períodos que excedan del 31 de diciembre de cada año; pero cuando las necesidades del servicio lo exijan podrán prorrogarse sólo por dos meses mientras se suscribe el nuevo contrato, de ser necesario.</t>
    </r>
  </si>
  <si>
    <r>
      <t>h) </t>
    </r>
    <r>
      <rPr>
        <sz val="11"/>
        <rFont val="Arial"/>
        <family val="2"/>
      </rPr>
      <t>      Las personas contratadas gozarán de las prestaciones laborales  de ley, excepto la  licencia por beca: en este caso, será necesario que los contratados favorecidos con becas, tengan por lo menos seis meses consecutivos  de trabajar para la entidad.</t>
    </r>
  </si>
  <si>
    <r>
      <t>a)</t>
    </r>
    <r>
      <rPr>
        <sz val="11"/>
        <rFont val="Arial"/>
        <family val="2"/>
      </rPr>
      <t xml:space="preserve">        Ninguna persona tomará posesión de su cargo, si no ha sido </t>
    </r>
    <r>
      <rPr>
        <b/>
        <u/>
        <sz val="11"/>
        <rFont val="Arial"/>
        <family val="2"/>
      </rPr>
      <t xml:space="preserve">nombrada </t>
    </r>
    <r>
      <rPr>
        <u/>
        <sz val="11"/>
        <rFont val="Arial"/>
        <family val="2"/>
      </rPr>
      <t>o</t>
    </r>
    <r>
      <rPr>
        <b/>
        <u/>
        <sz val="11"/>
        <rFont val="Arial"/>
        <family val="2"/>
      </rPr>
      <t xml:space="preserve"> contratada</t>
    </r>
    <r>
      <rPr>
        <b/>
        <sz val="11"/>
        <rFont val="Arial"/>
        <family val="2"/>
      </rPr>
      <t xml:space="preserve"> </t>
    </r>
    <r>
      <rPr>
        <sz val="11"/>
        <rFont val="Arial"/>
        <family val="2"/>
      </rPr>
      <t>formalmente.</t>
    </r>
  </si>
  <si>
    <t>DADO EN LA ALCALDIA MUNICIPAL DE CHILTIUPÁN, DEPARTAMENTO DE LA LIBERTAD, EL DIA DIECINUEVE DE DICIEMBRE DE DOS MIL VEINTIDOS</t>
  </si>
  <si>
    <t>PRESUPUESTO DEL 1 DE ENERO AL 31 DE DICIEMBRE DE 2023</t>
  </si>
  <si>
    <t>DETALLE RECURSOS HUMANOS FONDOS PROPIOS</t>
  </si>
  <si>
    <t>Alimento para personas</t>
  </si>
  <si>
    <t>ASIGNACION, FODES 2022, GASTOS DE ADMINISTRACIÓN</t>
  </si>
  <si>
    <t>PROYECTO: PROGRAMAS DE APOYO SOCIAL DIVERSO</t>
  </si>
  <si>
    <r>
      <rPr>
        <b/>
        <sz val="10"/>
        <rFont val="Arial"/>
        <family val="2"/>
      </rPr>
      <t>META</t>
    </r>
    <r>
      <rPr>
        <sz val="10"/>
        <rFont val="Arial"/>
        <family val="2"/>
      </rPr>
      <t>: CELEBRAR FECHAS IMPORTANTES PARA LOS HABITANTES DEL MUNICIPIO.</t>
    </r>
  </si>
  <si>
    <t>Productos Quimicos</t>
  </si>
  <si>
    <r>
      <rPr>
        <b/>
        <sz val="10"/>
        <rFont val="Arial"/>
        <family val="2"/>
      </rPr>
      <t>META</t>
    </r>
    <r>
      <rPr>
        <sz val="10"/>
        <rFont val="Arial"/>
        <family val="2"/>
      </rPr>
      <t>: BRINDAR UN SERVICIO EFICAZ A LOS CONTRIBUYENTES.</t>
    </r>
  </si>
  <si>
    <t>4 Recolectores de basura, $12.00 al día x 7  días a la semana.</t>
  </si>
  <si>
    <t>PROGRAMAS DE APOYO SOCIAL DIVERSOS</t>
  </si>
  <si>
    <t>Danilo del Carmen Servellón Vides</t>
  </si>
  <si>
    <t>50</t>
  </si>
  <si>
    <t>03</t>
  </si>
  <si>
    <t>Promoción Social Y Activo Fijo</t>
  </si>
  <si>
    <t xml:space="preserve">Ordenanza   </t>
  </si>
  <si>
    <t>Jefe Unidad de MAG y Protección Civil</t>
  </si>
  <si>
    <t xml:space="preserve">Síndico Municipal </t>
  </si>
  <si>
    <t>06</t>
  </si>
  <si>
    <t xml:space="preserve">                                                                                                                                                                                                                                                                                         </t>
  </si>
  <si>
    <t>Cta. ------------------  25%  FODES, Tesorería Municipal de Chiltiupán</t>
  </si>
  <si>
    <t xml:space="preserve">Cta., Nº -------------------------, 120-FODES LIBRE DISPONIBILIDAD </t>
  </si>
  <si>
    <t>Cta., Nº-------------------, Gastos de Administración</t>
  </si>
  <si>
    <t xml:space="preserve">Cta. Cte. Nº --------, Tesorería Municipal de Chiltiupán,  Fondo Municipal. </t>
  </si>
  <si>
    <t xml:space="preserve">Cta. Ahorros Nº ---------------------- Tes. Mpal. 75 %  FODES   </t>
  </si>
  <si>
    <t xml:space="preserve">Cta. Nº --------------------  Tes. MppaL. De Chiltiupán 75% FODES  </t>
  </si>
  <si>
    <t xml:space="preserve">Concejal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</si>
</sst>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 #,##0.00_);_(&quot;$&quot;\ * \(#,##0.00\);_(&quot;$&quot;\ * &quot;-&quot;??_);_(@_)"/>
    <numFmt numFmtId="167" formatCode="_-[$€-2]* #,##0.00_-;\-[$€-2]* #,##0.00_-;_-[$€-2]* &quot;-&quot;??_-"/>
    <numFmt numFmtId="168" formatCode="_([$$-440A]* #,##0.00_);_([$$-440A]* \(#,##0.00\);_([$$-440A]* &quot;-&quot;??_);_(@_)"/>
    <numFmt numFmtId="169" formatCode="_-[$$-409]* #,##0.00_ ;_-[$$-409]* \-#,##0.00\ ;_-[$$-409]* &quot;-&quot;??_ ;_-@_ "/>
    <numFmt numFmtId="170" formatCode="_([$$-409]* #,##0.00_);_([$$-409]* \(#,##0.00\);_([$$-409]* &quot;-&quot;??_);_(@_)"/>
    <numFmt numFmtId="171" formatCode="_(&quot;$&quot;* #,##0.000000_);_(&quot;$&quot;* \(#,##0.000000\);_(&quot;$&quot;* &quot;-&quot;??????_);_(@_)"/>
    <numFmt numFmtId="172" formatCode="0.000000%"/>
    <numFmt numFmtId="173" formatCode="_-[$$-440A]* #,##0.00_-;\-[$$-440A]* #,##0.00_-;_-[$$-440A]* &quot;-&quot;??_-;_-@_-"/>
    <numFmt numFmtId="174" formatCode="_(&quot;$&quot;\ * #,##0.0_);_(&quot;$&quot;\ * \(#,##0.0\);_(&quot;$&quot;\ * &quot;-&quot;??_);_(@_)"/>
  </numFmts>
  <fonts count="201">
    <font>
      <sz val="10"/>
      <name val="Arial"/>
    </font>
    <font>
      <sz val="11"/>
      <color theme="1"/>
      <name val="Calibri"/>
      <family val="2"/>
      <scheme val="minor"/>
    </font>
    <font>
      <sz val="11"/>
      <color theme="1"/>
      <name val="Calibri"/>
      <family val="2"/>
      <scheme val="minor"/>
    </font>
    <font>
      <sz val="10"/>
      <name val="Arial"/>
      <family val="2"/>
    </font>
    <font>
      <sz val="10"/>
      <name val="Trebuchet MS"/>
      <family val="2"/>
    </font>
    <font>
      <b/>
      <sz val="10"/>
      <name val="Trebuchet MS"/>
      <family val="2"/>
    </font>
    <font>
      <b/>
      <sz val="12"/>
      <name val="Trebuchet MS"/>
      <family val="2"/>
    </font>
    <font>
      <b/>
      <sz val="10"/>
      <color indexed="12"/>
      <name val="Trebuchet MS"/>
      <family val="2"/>
    </font>
    <font>
      <sz val="10"/>
      <color indexed="10"/>
      <name val="Trebuchet MS"/>
      <family val="2"/>
    </font>
    <font>
      <sz val="10"/>
      <color indexed="57"/>
      <name val="Trebuchet MS"/>
      <family val="2"/>
    </font>
    <font>
      <sz val="8"/>
      <name val="Arial"/>
      <family val="2"/>
    </font>
    <font>
      <sz val="12"/>
      <name val="Trebuchet MS"/>
      <family val="2"/>
    </font>
    <font>
      <sz val="9"/>
      <name val="Trebuchet MS"/>
      <family val="2"/>
    </font>
    <font>
      <sz val="12"/>
      <name val="Arial"/>
      <family val="2"/>
    </font>
    <font>
      <sz val="10"/>
      <name val="Arial"/>
      <family val="2"/>
    </font>
    <font>
      <b/>
      <sz val="12"/>
      <name val="Arial"/>
      <family val="2"/>
    </font>
    <font>
      <sz val="14"/>
      <name val="Trebuchet MS"/>
      <family val="2"/>
    </font>
    <font>
      <sz val="14"/>
      <name val="Arial"/>
      <family val="2"/>
    </font>
    <font>
      <b/>
      <sz val="14"/>
      <name val="Trebuchet MS"/>
      <family val="2"/>
    </font>
    <font>
      <b/>
      <sz val="12"/>
      <name val="Arial"/>
      <family val="2"/>
    </font>
    <font>
      <b/>
      <sz val="10"/>
      <name val="Arial"/>
      <family val="2"/>
    </font>
    <font>
      <sz val="8"/>
      <name val="Trebuchet MS"/>
      <family val="2"/>
    </font>
    <font>
      <b/>
      <sz val="8"/>
      <name val="Trebuchet MS"/>
      <family val="2"/>
    </font>
    <font>
      <sz val="8"/>
      <name val="Arial"/>
      <family val="2"/>
    </font>
    <font>
      <b/>
      <sz val="8"/>
      <name val="Arial"/>
      <family val="2"/>
    </font>
    <font>
      <b/>
      <sz val="11"/>
      <name val="Arial"/>
      <family val="2"/>
    </font>
    <font>
      <sz val="9"/>
      <name val="Arial"/>
      <family val="2"/>
    </font>
    <font>
      <sz val="11"/>
      <name val="Arial"/>
      <family val="2"/>
    </font>
    <font>
      <sz val="11"/>
      <name val="Trebuchet MS"/>
      <family val="2"/>
    </font>
    <font>
      <sz val="12"/>
      <name val="Arial"/>
      <family val="2"/>
    </font>
    <font>
      <b/>
      <sz val="7"/>
      <name val="Trebuchet MS"/>
      <family val="2"/>
    </font>
    <font>
      <sz val="7"/>
      <name val="Arial"/>
      <family val="2"/>
    </font>
    <font>
      <sz val="10"/>
      <name val="Arial"/>
      <family val="2"/>
    </font>
    <font>
      <b/>
      <sz val="9"/>
      <name val="Trebuchet MS"/>
      <family val="2"/>
    </font>
    <font>
      <b/>
      <sz val="10"/>
      <color indexed="10"/>
      <name val="Arial"/>
      <family val="2"/>
    </font>
    <font>
      <b/>
      <sz val="10"/>
      <color indexed="12"/>
      <name val="Arial"/>
      <family val="2"/>
    </font>
    <font>
      <sz val="10"/>
      <color indexed="8"/>
      <name val="Arial"/>
      <family val="2"/>
    </font>
    <font>
      <sz val="11"/>
      <color indexed="8"/>
      <name val="Arial"/>
      <family val="2"/>
    </font>
    <font>
      <b/>
      <sz val="11"/>
      <color indexed="12"/>
      <name val="Arial"/>
      <family val="2"/>
    </font>
    <font>
      <b/>
      <sz val="11"/>
      <name val="Trebuchet MS"/>
      <family val="2"/>
    </font>
    <font>
      <b/>
      <sz val="11"/>
      <color indexed="10"/>
      <name val="Arial"/>
      <family val="2"/>
    </font>
    <font>
      <sz val="11"/>
      <name val="Arial"/>
      <family val="2"/>
    </font>
    <font>
      <b/>
      <sz val="9"/>
      <name val="Arial"/>
      <family val="2"/>
    </font>
    <font>
      <b/>
      <sz val="8"/>
      <color indexed="81"/>
      <name val="Tahoma"/>
      <family val="2"/>
    </font>
    <font>
      <sz val="8"/>
      <color indexed="81"/>
      <name val="Tahoma"/>
      <family val="2"/>
    </font>
    <font>
      <sz val="10"/>
      <color rgb="FFFF0000"/>
      <name val="Arial"/>
      <family val="2"/>
    </font>
    <font>
      <sz val="9"/>
      <color rgb="FF0000FF"/>
      <name val="Arial"/>
      <family val="2"/>
    </font>
    <font>
      <sz val="9.5"/>
      <name val="Trebuchet MS"/>
      <family val="2"/>
    </font>
    <font>
      <sz val="8"/>
      <name val="Calibri"/>
      <family val="2"/>
      <scheme val="minor"/>
    </font>
    <font>
      <sz val="9"/>
      <color rgb="FFFF3300"/>
      <name val="Arial"/>
      <family val="2"/>
    </font>
    <font>
      <sz val="14"/>
      <name val="Arial"/>
      <family val="2"/>
    </font>
    <font>
      <sz val="9"/>
      <name val="Calibri"/>
      <family val="2"/>
      <scheme val="minor"/>
    </font>
    <font>
      <b/>
      <sz val="9"/>
      <name val="Calibri"/>
      <family val="2"/>
      <scheme val="minor"/>
    </font>
    <font>
      <sz val="10"/>
      <name val="Calibri"/>
      <family val="2"/>
      <scheme val="minor"/>
    </font>
    <font>
      <sz val="14"/>
      <name val="Calibri"/>
      <family val="2"/>
      <scheme val="minor"/>
    </font>
    <font>
      <b/>
      <sz val="14"/>
      <name val="Calibri"/>
      <family val="2"/>
      <scheme val="minor"/>
    </font>
    <font>
      <sz val="7.5"/>
      <name val="Arial"/>
      <family val="2"/>
    </font>
    <font>
      <sz val="7.5"/>
      <name val="Calibri"/>
      <family val="2"/>
      <scheme val="minor"/>
    </font>
    <font>
      <sz val="9"/>
      <name val="Arimo"/>
      <family val="2"/>
    </font>
    <font>
      <b/>
      <sz val="10"/>
      <name val="Calibri"/>
      <family val="2"/>
      <scheme val="minor"/>
    </font>
    <font>
      <sz val="10"/>
      <color indexed="12"/>
      <name val="Calibri"/>
      <family val="2"/>
      <scheme val="minor"/>
    </font>
    <font>
      <b/>
      <sz val="9"/>
      <color indexed="12"/>
      <name val="Trebuchet MS"/>
      <family val="2"/>
    </font>
    <font>
      <sz val="9"/>
      <name val="Courier New"/>
      <family val="3"/>
    </font>
    <font>
      <sz val="8"/>
      <name val="Arial Unicode MS"/>
      <family val="2"/>
    </font>
    <font>
      <sz val="9"/>
      <color rgb="FF6600FF"/>
      <name val="Calibri"/>
      <family val="2"/>
      <scheme val="minor"/>
    </font>
    <font>
      <sz val="9"/>
      <color rgb="FF00B050"/>
      <name val="Calibri"/>
      <family val="2"/>
      <scheme val="minor"/>
    </font>
    <font>
      <sz val="9"/>
      <color rgb="FFFF00FF"/>
      <name val="Calibri"/>
      <family val="2"/>
      <scheme val="minor"/>
    </font>
    <font>
      <sz val="9"/>
      <name val="Calibri"/>
      <family val="2"/>
    </font>
    <font>
      <sz val="7.5"/>
      <name val="Algerian"/>
      <family val="5"/>
    </font>
    <font>
      <b/>
      <sz val="8"/>
      <name val="Arial Unicode MS"/>
      <family val="2"/>
    </font>
    <font>
      <sz val="6"/>
      <name val="Calibri"/>
      <family val="2"/>
      <scheme val="minor"/>
    </font>
    <font>
      <sz val="9"/>
      <color indexed="81"/>
      <name val="Tahoma"/>
      <family val="2"/>
    </font>
    <font>
      <b/>
      <sz val="9"/>
      <color indexed="81"/>
      <name val="Tahoma"/>
      <family val="2"/>
    </font>
    <font>
      <b/>
      <sz val="11"/>
      <name val="Calibri"/>
      <family val="2"/>
      <scheme val="minor"/>
    </font>
    <font>
      <sz val="10"/>
      <color theme="1"/>
      <name val="Calibri"/>
      <family val="2"/>
      <scheme val="minor"/>
    </font>
    <font>
      <sz val="10"/>
      <color rgb="FF000000"/>
      <name val="Arial"/>
      <family val="2"/>
    </font>
    <font>
      <b/>
      <u/>
      <sz val="10"/>
      <name val="Arial"/>
      <family val="2"/>
    </font>
    <font>
      <b/>
      <sz val="12"/>
      <color theme="3" tint="0.39997558519241921"/>
      <name val="Arial"/>
      <family val="2"/>
    </font>
    <font>
      <sz val="11"/>
      <name val="Cambria"/>
      <family val="1"/>
      <scheme val="major"/>
    </font>
    <font>
      <b/>
      <sz val="16"/>
      <name val="Cambria"/>
      <family val="1"/>
      <scheme val="major"/>
    </font>
    <font>
      <b/>
      <sz val="11"/>
      <name val="Cambria"/>
      <family val="1"/>
      <scheme val="major"/>
    </font>
    <font>
      <b/>
      <sz val="9"/>
      <name val="Cambria"/>
      <family val="1"/>
      <scheme val="major"/>
    </font>
    <font>
      <sz val="7.5"/>
      <name val="Cambria"/>
      <family val="1"/>
      <scheme val="major"/>
    </font>
    <font>
      <sz val="8"/>
      <name val="Cambria"/>
      <family val="1"/>
      <scheme val="major"/>
    </font>
    <font>
      <sz val="6"/>
      <name val="Cambria"/>
      <family val="1"/>
      <scheme val="major"/>
    </font>
    <font>
      <sz val="10"/>
      <name val="Cambria"/>
      <family val="1"/>
      <scheme val="major"/>
    </font>
    <font>
      <sz val="11"/>
      <color theme="1"/>
      <name val="Arial"/>
      <family val="2"/>
    </font>
    <font>
      <u/>
      <sz val="11"/>
      <name val="Arial"/>
      <family val="2"/>
    </font>
    <font>
      <sz val="11"/>
      <color rgb="FFFF0000"/>
      <name val="Arial"/>
      <family val="2"/>
    </font>
    <font>
      <sz val="10"/>
      <name val="Arial"/>
      <family val="2"/>
    </font>
    <font>
      <b/>
      <sz val="16"/>
      <name val="Calibri"/>
      <family val="2"/>
      <scheme val="minor"/>
    </font>
    <font>
      <sz val="10"/>
      <name val="Arial Unicode MS"/>
      <family val="2"/>
    </font>
    <font>
      <sz val="9"/>
      <color theme="1"/>
      <name val="Calibri"/>
      <family val="2"/>
      <scheme val="minor"/>
    </font>
    <font>
      <sz val="12"/>
      <color rgb="FFFF0000"/>
      <name val="Calibri"/>
      <family val="2"/>
      <scheme val="minor"/>
    </font>
    <font>
      <sz val="12"/>
      <name val="Calibri"/>
      <family val="2"/>
      <scheme val="minor"/>
    </font>
    <font>
      <b/>
      <i/>
      <sz val="12"/>
      <name val="Trebuchet MS"/>
      <family val="2"/>
    </font>
    <font>
      <b/>
      <i/>
      <sz val="11"/>
      <name val="Arial"/>
      <family val="2"/>
    </font>
    <font>
      <b/>
      <i/>
      <sz val="11"/>
      <name val="Cambria"/>
      <family val="1"/>
      <scheme val="major"/>
    </font>
    <font>
      <b/>
      <i/>
      <sz val="12"/>
      <name val="Arial"/>
      <family val="2"/>
    </font>
    <font>
      <sz val="8"/>
      <color indexed="8"/>
      <name val="Arial"/>
      <family val="2"/>
    </font>
    <font>
      <b/>
      <sz val="8"/>
      <color indexed="12"/>
      <name val="Arial"/>
      <family val="2"/>
    </font>
    <font>
      <b/>
      <sz val="8"/>
      <color indexed="10"/>
      <name val="Arial"/>
      <family val="2"/>
    </font>
    <font>
      <b/>
      <i/>
      <sz val="10"/>
      <name val="Calibri"/>
      <family val="2"/>
      <scheme val="minor"/>
    </font>
    <font>
      <b/>
      <i/>
      <sz val="20"/>
      <name val="Calibri"/>
      <family val="2"/>
      <scheme val="minor"/>
    </font>
    <font>
      <b/>
      <i/>
      <sz val="8"/>
      <name val="Arial"/>
      <family val="2"/>
    </font>
    <font>
      <sz val="11"/>
      <color rgb="FFFF0000"/>
      <name val="Cambria"/>
      <family val="1"/>
      <scheme val="major"/>
    </font>
    <font>
      <b/>
      <i/>
      <sz val="11"/>
      <name val="Calibri"/>
      <family val="2"/>
      <scheme val="minor"/>
    </font>
    <font>
      <b/>
      <i/>
      <sz val="12"/>
      <name val="Calibri"/>
      <family val="2"/>
      <scheme val="minor"/>
    </font>
    <font>
      <sz val="11"/>
      <name val="Calibri"/>
      <family val="2"/>
      <scheme val="minor"/>
    </font>
    <font>
      <sz val="11"/>
      <name val="Arimo"/>
      <family val="2"/>
    </font>
    <font>
      <b/>
      <i/>
      <sz val="12"/>
      <color rgb="FFFF0000"/>
      <name val="Trebuchet MS"/>
      <family val="2"/>
    </font>
    <font>
      <b/>
      <i/>
      <sz val="10"/>
      <name val="Arial"/>
      <family val="2"/>
    </font>
    <font>
      <b/>
      <i/>
      <sz val="20"/>
      <color rgb="FF9900CC"/>
      <name val="Calibri"/>
      <family val="2"/>
      <scheme val="minor"/>
    </font>
    <font>
      <b/>
      <i/>
      <sz val="20"/>
      <color theme="5" tint="-0.249977111117893"/>
      <name val="Calibri"/>
      <family val="2"/>
      <scheme val="minor"/>
    </font>
    <font>
      <b/>
      <sz val="12"/>
      <name val="Calibri"/>
      <family val="2"/>
      <scheme val="minor"/>
    </font>
    <font>
      <b/>
      <i/>
      <sz val="18"/>
      <color theme="1"/>
      <name val="Cambria"/>
      <family val="1"/>
      <scheme val="major"/>
    </font>
    <font>
      <b/>
      <i/>
      <sz val="9"/>
      <color indexed="81"/>
      <name val="Tahoma"/>
      <family val="2"/>
    </font>
    <font>
      <b/>
      <sz val="11"/>
      <color theme="1" tint="0.499984740745262"/>
      <name val="Cambria"/>
      <family val="1"/>
      <scheme val="major"/>
    </font>
    <font>
      <sz val="8"/>
      <name val="Arial"/>
      <family val="2"/>
    </font>
    <font>
      <b/>
      <sz val="16"/>
      <color theme="1"/>
      <name val="Arial"/>
      <family val="2"/>
    </font>
    <font>
      <b/>
      <u/>
      <sz val="16"/>
      <name val="Arial"/>
      <family val="2"/>
    </font>
    <font>
      <u/>
      <sz val="16"/>
      <name val="Arial"/>
      <family val="2"/>
    </font>
    <font>
      <i/>
      <sz val="10"/>
      <name val="Arial"/>
      <family val="2"/>
    </font>
    <font>
      <b/>
      <sz val="14"/>
      <color theme="0"/>
      <name val="Tw Cen MT Condensed Extra Bold"/>
      <family val="2"/>
    </font>
    <font>
      <b/>
      <sz val="11"/>
      <color theme="0"/>
      <name val="Cambria"/>
      <family val="1"/>
      <scheme val="major"/>
    </font>
    <font>
      <b/>
      <sz val="9"/>
      <color theme="0"/>
      <name val="Cambria"/>
      <family val="1"/>
      <scheme val="major"/>
    </font>
    <font>
      <b/>
      <sz val="10"/>
      <color theme="0"/>
      <name val="Cambria"/>
      <family val="1"/>
      <scheme val="major"/>
    </font>
    <font>
      <sz val="18"/>
      <name val="Arial"/>
      <family val="2"/>
    </font>
    <font>
      <b/>
      <sz val="18"/>
      <color theme="0"/>
      <name val="Arial"/>
      <family val="2"/>
    </font>
    <font>
      <b/>
      <sz val="9"/>
      <color theme="0"/>
      <name val="Arial"/>
      <family val="2"/>
    </font>
    <font>
      <b/>
      <sz val="10"/>
      <color theme="0"/>
      <name val="Arial"/>
      <family val="2"/>
    </font>
    <font>
      <sz val="10"/>
      <color theme="0"/>
      <name val="Arial"/>
      <family val="2"/>
    </font>
    <font>
      <b/>
      <sz val="11"/>
      <color theme="0"/>
      <name val="Arial"/>
      <family val="2"/>
    </font>
    <font>
      <b/>
      <sz val="14"/>
      <color theme="0"/>
      <name val="Arial"/>
      <family val="2"/>
    </font>
    <font>
      <b/>
      <sz val="16"/>
      <color theme="0"/>
      <name val="Arial"/>
      <family val="2"/>
    </font>
    <font>
      <b/>
      <sz val="14"/>
      <name val="Cambria"/>
      <family val="1"/>
      <scheme val="major"/>
    </font>
    <font>
      <b/>
      <sz val="11"/>
      <color theme="0"/>
      <name val="Trebuchet MS"/>
      <family val="2"/>
    </font>
    <font>
      <b/>
      <i/>
      <sz val="12"/>
      <color theme="0"/>
      <name val="Trebuchet MS"/>
      <family val="2"/>
    </font>
    <font>
      <b/>
      <sz val="8"/>
      <color theme="0"/>
      <name val="Trebuchet MS"/>
      <family val="2"/>
    </font>
    <font>
      <b/>
      <sz val="14"/>
      <color theme="0"/>
      <name val="Calibri"/>
      <family val="2"/>
      <scheme val="minor"/>
    </font>
    <font>
      <b/>
      <sz val="12"/>
      <color indexed="8"/>
      <name val="Arial"/>
      <family val="2"/>
    </font>
    <font>
      <b/>
      <sz val="11"/>
      <color theme="0"/>
      <name val="Calibri"/>
      <family val="2"/>
      <scheme val="minor"/>
    </font>
    <font>
      <sz val="10"/>
      <color theme="0"/>
      <name val="Trebuchet MS"/>
      <family val="2"/>
    </font>
    <font>
      <b/>
      <sz val="10"/>
      <color theme="0"/>
      <name val="Trebuchet MS"/>
      <family val="2"/>
    </font>
    <font>
      <b/>
      <sz val="12"/>
      <color theme="0"/>
      <name val="Trebuchet MS"/>
      <family val="2"/>
    </font>
    <font>
      <b/>
      <sz val="16"/>
      <name val="Trebuchet MS"/>
      <family val="2"/>
    </font>
    <font>
      <b/>
      <sz val="12"/>
      <color theme="0"/>
      <name val="Arial"/>
      <family val="2"/>
    </font>
    <font>
      <b/>
      <sz val="16"/>
      <name val="Arial"/>
      <family val="2"/>
    </font>
    <font>
      <sz val="9"/>
      <color theme="0"/>
      <name val="Trebuchet MS"/>
      <family val="2"/>
    </font>
    <font>
      <b/>
      <sz val="20"/>
      <name val="Calibri"/>
      <family val="2"/>
      <scheme val="minor"/>
    </font>
    <font>
      <b/>
      <sz val="8"/>
      <color theme="0"/>
      <name val="Arial"/>
      <family val="2"/>
    </font>
    <font>
      <sz val="14"/>
      <color theme="0"/>
      <name val="Trebuchet MS"/>
      <family val="2"/>
    </font>
    <font>
      <b/>
      <i/>
      <sz val="14"/>
      <color theme="0"/>
      <name val="Trebuchet MS"/>
      <family val="2"/>
    </font>
    <font>
      <sz val="7"/>
      <color theme="0"/>
      <name val="Trebuchet MS"/>
      <family val="2"/>
    </font>
    <font>
      <b/>
      <sz val="7"/>
      <color theme="0"/>
      <name val="Trebuchet MS"/>
      <family val="2"/>
    </font>
    <font>
      <b/>
      <sz val="10"/>
      <color theme="0"/>
      <name val="Calibri"/>
      <family val="2"/>
      <scheme val="minor"/>
    </font>
    <font>
      <sz val="10"/>
      <color theme="0"/>
      <name val="Calibri"/>
      <family val="2"/>
      <scheme val="minor"/>
    </font>
    <font>
      <b/>
      <i/>
      <sz val="12"/>
      <color theme="0"/>
      <name val="Calibri"/>
      <family val="2"/>
      <scheme val="minor"/>
    </font>
    <font>
      <b/>
      <i/>
      <sz val="11"/>
      <color theme="0"/>
      <name val="Calibri"/>
      <family val="2"/>
      <scheme val="minor"/>
    </font>
    <font>
      <b/>
      <sz val="12"/>
      <name val="Cambria"/>
      <family val="1"/>
      <scheme val="major"/>
    </font>
    <font>
      <b/>
      <sz val="12"/>
      <color theme="0"/>
      <name val="Calibri"/>
      <family val="2"/>
      <scheme val="minor"/>
    </font>
    <font>
      <sz val="12"/>
      <color theme="0"/>
      <name val="Calibri"/>
      <family val="2"/>
      <scheme val="minor"/>
    </font>
    <font>
      <i/>
      <sz val="12"/>
      <name val="Calibri"/>
      <family val="2"/>
      <scheme val="minor"/>
    </font>
    <font>
      <sz val="12"/>
      <color indexed="12"/>
      <name val="Calibri"/>
      <family val="2"/>
      <scheme val="minor"/>
    </font>
    <font>
      <sz val="12"/>
      <color indexed="57"/>
      <name val="Calibri"/>
      <family val="2"/>
      <scheme val="minor"/>
    </font>
    <font>
      <i/>
      <sz val="10"/>
      <name val="Calibri"/>
      <family val="2"/>
      <scheme val="minor"/>
    </font>
    <font>
      <b/>
      <sz val="7.5"/>
      <color theme="0"/>
      <name val="Arial"/>
      <family val="2"/>
    </font>
    <font>
      <b/>
      <i/>
      <sz val="9"/>
      <name val="Arial"/>
      <family val="2"/>
    </font>
    <font>
      <b/>
      <sz val="14"/>
      <color theme="0"/>
      <name val="Cambria"/>
      <family val="1"/>
      <scheme val="major"/>
    </font>
    <font>
      <sz val="9"/>
      <color theme="0"/>
      <name val="Arial"/>
      <family val="2"/>
    </font>
    <font>
      <b/>
      <i/>
      <sz val="9"/>
      <color theme="0"/>
      <name val="Arial"/>
      <family val="2"/>
    </font>
    <font>
      <sz val="10"/>
      <color rgb="FFFF0000"/>
      <name val="Cambria"/>
      <family val="1"/>
      <scheme val="major"/>
    </font>
    <font>
      <b/>
      <sz val="12"/>
      <color theme="0"/>
      <name val="Cambria"/>
      <family val="1"/>
      <scheme val="major"/>
    </font>
    <font>
      <sz val="12"/>
      <color theme="0"/>
      <name val="Cambria"/>
      <family val="1"/>
      <scheme val="major"/>
    </font>
    <font>
      <b/>
      <sz val="14"/>
      <name val="Arial"/>
      <family val="2"/>
    </font>
    <font>
      <b/>
      <sz val="16"/>
      <color theme="0"/>
      <name val="Trebuchet MS"/>
      <family val="2"/>
    </font>
    <font>
      <b/>
      <sz val="20"/>
      <name val="Arial"/>
      <family val="2"/>
    </font>
    <font>
      <sz val="10"/>
      <color indexed="10"/>
      <name val="Arial"/>
      <family val="2"/>
    </font>
    <font>
      <sz val="10"/>
      <color indexed="57"/>
      <name val="Arial"/>
      <family val="2"/>
    </font>
    <font>
      <b/>
      <u/>
      <sz val="16"/>
      <color theme="0"/>
      <name val="Arial"/>
      <family val="2"/>
    </font>
    <font>
      <b/>
      <u/>
      <sz val="11"/>
      <name val="Arial"/>
      <family val="2"/>
    </font>
    <font>
      <b/>
      <u/>
      <sz val="14"/>
      <color theme="0"/>
      <name val="Arial"/>
      <family val="2"/>
    </font>
    <font>
      <b/>
      <sz val="10"/>
      <color theme="0"/>
      <name val="Arial Unicode MS"/>
      <family val="2"/>
    </font>
    <font>
      <b/>
      <sz val="8"/>
      <color theme="0"/>
      <name val="Arial Unicode MS"/>
      <family val="2"/>
    </font>
    <font>
      <b/>
      <sz val="14"/>
      <color theme="0"/>
      <name val="Arial Unicode MS"/>
      <family val="2"/>
    </font>
    <font>
      <sz val="18"/>
      <color rgb="FFFF0000"/>
      <name val="Arial"/>
      <family val="2"/>
    </font>
    <font>
      <u/>
      <sz val="14"/>
      <color theme="1"/>
      <name val="Arial"/>
      <family val="2"/>
    </font>
    <font>
      <sz val="14"/>
      <color rgb="FFFF0000"/>
      <name val="Calibri"/>
      <family val="2"/>
      <scheme val="minor"/>
    </font>
    <font>
      <i/>
      <sz val="11"/>
      <name val="Arial"/>
      <family val="2"/>
    </font>
    <font>
      <sz val="11"/>
      <color indexed="10"/>
      <name val="Arial"/>
      <family val="2"/>
    </font>
    <font>
      <b/>
      <sz val="18"/>
      <name val="Calibri"/>
      <family val="2"/>
      <scheme val="minor"/>
    </font>
    <font>
      <b/>
      <u/>
      <sz val="14"/>
      <name val="Arial"/>
      <family val="2"/>
    </font>
    <font>
      <u/>
      <sz val="14"/>
      <name val="Arial"/>
      <family val="2"/>
    </font>
    <font>
      <b/>
      <u/>
      <sz val="9"/>
      <name val="Arial"/>
      <family val="2"/>
    </font>
    <font>
      <sz val="10"/>
      <name val="Arimo"/>
      <family val="2"/>
    </font>
    <font>
      <b/>
      <sz val="10"/>
      <name val="Arial Unicode MS"/>
      <family val="2"/>
    </font>
    <font>
      <sz val="11"/>
      <name val="Arial Unicode MS"/>
      <family val="2"/>
    </font>
    <font>
      <sz val="12"/>
      <color theme="1"/>
      <name val="Calibri"/>
      <family val="2"/>
      <scheme val="minor"/>
    </font>
    <font>
      <sz val="12"/>
      <name val="Calibri"/>
      <family val="2"/>
    </font>
    <font>
      <sz val="20"/>
      <name val="Arial"/>
      <family val="2"/>
    </font>
    <font>
      <b/>
      <sz val="11"/>
      <color theme="3" tint="0.39997558519241921"/>
      <name val="Arial"/>
      <family val="2"/>
    </font>
  </fonts>
  <fills count="23">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66"/>
        <bgColor indexed="64"/>
      </patternFill>
    </fill>
    <fill>
      <patternFill patternType="solid">
        <fgColor rgb="FF00FFFF"/>
        <bgColor indexed="64"/>
      </patternFill>
    </fill>
    <fill>
      <patternFill patternType="solid">
        <fgColor rgb="FFFF0000"/>
        <bgColor indexed="64"/>
      </patternFill>
    </fill>
    <fill>
      <patternFill patternType="solid">
        <fgColor rgb="FFFF99CC"/>
        <bgColor indexed="64"/>
      </patternFill>
    </fill>
    <fill>
      <patternFill patternType="solid">
        <fgColor rgb="FFFFCCFF"/>
        <bgColor indexed="64"/>
      </patternFill>
    </fill>
    <fill>
      <patternFill patternType="solid">
        <fgColor rgb="FFCCFF99"/>
        <bgColor indexed="64"/>
      </patternFill>
    </fill>
    <fill>
      <patternFill patternType="solid">
        <fgColor theme="4" tint="0.79998168889431442"/>
        <bgColor indexed="65"/>
      </patternFill>
    </fill>
    <fill>
      <patternFill patternType="solid">
        <fgColor rgb="FF33CCCC"/>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rgb="FF00206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3" tint="0.59999389629810485"/>
        <bgColor indexed="64"/>
      </patternFill>
    </fill>
  </fills>
  <borders count="229">
    <border>
      <left/>
      <right/>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right/>
      <top style="thin">
        <color indexed="64"/>
      </top>
      <bottom style="double">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style="medium">
        <color indexed="16"/>
      </left>
      <right style="medium">
        <color indexed="16"/>
      </right>
      <top style="thin">
        <color indexed="64"/>
      </top>
      <bottom style="thin">
        <color indexed="64"/>
      </bottom>
      <diagonal/>
    </border>
    <border>
      <left style="medium">
        <color indexed="16"/>
      </left>
      <right style="medium">
        <color indexed="16"/>
      </right>
      <top style="thin">
        <color indexed="64"/>
      </top>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
      <left/>
      <right style="thin">
        <color theme="9" tint="-0.249977111117893"/>
      </right>
      <top/>
      <bottom/>
      <diagonal/>
    </border>
    <border>
      <left/>
      <right/>
      <top/>
      <bottom style="thin">
        <color rgb="FF6600FF"/>
      </bottom>
      <diagonal/>
    </border>
    <border>
      <left/>
      <right style="thin">
        <color rgb="FF6600FF"/>
      </right>
      <top style="thin">
        <color rgb="FF6600FF"/>
      </top>
      <bottom style="thin">
        <color rgb="FF6600FF"/>
      </bottom>
      <diagonal/>
    </border>
    <border>
      <left/>
      <right/>
      <top style="thin">
        <color rgb="FF6600FF"/>
      </top>
      <bottom style="thin">
        <color rgb="FF6600FF"/>
      </bottom>
      <diagonal/>
    </border>
    <border>
      <left/>
      <right style="thin">
        <color rgb="FF6600FF"/>
      </right>
      <top/>
      <bottom style="thin">
        <color rgb="FF6600FF"/>
      </bottom>
      <diagonal/>
    </border>
    <border>
      <left style="thin">
        <color rgb="FF6600FF"/>
      </left>
      <right style="medium">
        <color rgb="FF6600FF"/>
      </right>
      <top style="thin">
        <color rgb="FF6600FF"/>
      </top>
      <bottom style="thin">
        <color rgb="FF6600FF"/>
      </bottom>
      <diagonal/>
    </border>
    <border>
      <left style="medium">
        <color rgb="FF6600FF"/>
      </left>
      <right style="medium">
        <color rgb="FF6600FF"/>
      </right>
      <top style="thin">
        <color rgb="FF6600FF"/>
      </top>
      <bottom style="thin">
        <color rgb="FF6600FF"/>
      </bottom>
      <diagonal/>
    </border>
    <border>
      <left style="medium">
        <color rgb="FF6600FF"/>
      </left>
      <right style="medium">
        <color rgb="FF6600FF"/>
      </right>
      <top/>
      <bottom style="thin">
        <color rgb="FF6600FF"/>
      </bottom>
      <diagonal/>
    </border>
    <border>
      <left/>
      <right style="medium">
        <color rgb="FF6600FF"/>
      </right>
      <top style="thin">
        <color rgb="FF6600FF"/>
      </top>
      <bottom style="thin">
        <color rgb="FF6600FF"/>
      </bottom>
      <diagonal/>
    </border>
    <border>
      <left/>
      <right style="medium">
        <color rgb="FF6600FF"/>
      </right>
      <top/>
      <bottom style="thin">
        <color rgb="FF6600FF"/>
      </bottom>
      <diagonal/>
    </border>
    <border>
      <left style="medium">
        <color rgb="FF6600FF"/>
      </left>
      <right style="medium">
        <color rgb="FF6600FF"/>
      </right>
      <top style="thin">
        <color rgb="FF6600FF"/>
      </top>
      <bottom style="medium">
        <color rgb="FF6600FF"/>
      </bottom>
      <diagonal/>
    </border>
    <border>
      <left style="medium">
        <color rgb="FF6600FF"/>
      </left>
      <right style="thin">
        <color rgb="FF6600FF"/>
      </right>
      <top style="thin">
        <color rgb="FF6600FF"/>
      </top>
      <bottom style="medium">
        <color rgb="FF6600FF"/>
      </bottom>
      <diagonal/>
    </border>
    <border>
      <left style="thin">
        <color rgb="FF6600FF"/>
      </left>
      <right style="medium">
        <color rgb="FF6600FF"/>
      </right>
      <top style="thin">
        <color rgb="FF6600FF"/>
      </top>
      <bottom style="medium">
        <color rgb="FF6600FF"/>
      </bottom>
      <diagonal/>
    </border>
    <border>
      <left/>
      <right style="medium">
        <color rgb="FF6600FF"/>
      </right>
      <top style="thin">
        <color rgb="FF6600FF"/>
      </top>
      <bottom style="medium">
        <color rgb="FF6600FF"/>
      </bottom>
      <diagonal/>
    </border>
    <border>
      <left/>
      <right style="thin">
        <color theme="9" tint="-0.249977111117893"/>
      </right>
      <top style="thin">
        <color rgb="FF6600FF"/>
      </top>
      <bottom style="medium">
        <color rgb="FF6600FF"/>
      </bottom>
      <diagonal/>
    </border>
    <border>
      <left style="thin">
        <color theme="9" tint="-0.249977111117893"/>
      </left>
      <right style="medium">
        <color rgb="FF6600FF"/>
      </right>
      <top style="thin">
        <color rgb="FF6600FF"/>
      </top>
      <bottom style="medium">
        <color rgb="FF6600FF"/>
      </bottom>
      <diagonal/>
    </border>
    <border>
      <left style="medium">
        <color rgb="FF6600FF"/>
      </left>
      <right/>
      <top style="thin">
        <color rgb="FF6600FF"/>
      </top>
      <bottom style="medium">
        <color rgb="FF6600FF"/>
      </bottom>
      <diagonal/>
    </border>
    <border>
      <left/>
      <right/>
      <top style="thin">
        <color rgb="FF6600FF"/>
      </top>
      <bottom style="medium">
        <color rgb="FF6600FF"/>
      </bottom>
      <diagonal/>
    </border>
    <border>
      <left/>
      <right style="medium">
        <color rgb="FF6600FF"/>
      </right>
      <top/>
      <bottom/>
      <diagonal/>
    </border>
    <border>
      <left/>
      <right style="thin">
        <color rgb="FF6600FF"/>
      </right>
      <top style="thin">
        <color rgb="FF6600FF"/>
      </top>
      <bottom style="medium">
        <color rgb="FF6600FF"/>
      </bottom>
      <diagonal/>
    </border>
    <border>
      <left style="medium">
        <color rgb="FF6600FF"/>
      </left>
      <right style="thin">
        <color rgb="FF6600FF"/>
      </right>
      <top/>
      <bottom style="medium">
        <color rgb="FF6600FF"/>
      </bottom>
      <diagonal/>
    </border>
    <border>
      <left style="medium">
        <color rgb="FF6600FF"/>
      </left>
      <right style="thin">
        <color rgb="FF6600FF"/>
      </right>
      <top/>
      <bottom style="thin">
        <color rgb="FF6600FF"/>
      </bottom>
      <diagonal/>
    </border>
    <border>
      <left style="medium">
        <color rgb="FF6600FF"/>
      </left>
      <right/>
      <top style="thin">
        <color rgb="FF6600FF"/>
      </top>
      <bottom style="thin">
        <color rgb="FF6600FF"/>
      </bottom>
      <diagonal/>
    </border>
    <border>
      <left/>
      <right style="thin">
        <color rgb="FF6600FF"/>
      </right>
      <top/>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16"/>
      </right>
      <top style="medium">
        <color rgb="FFFF0000"/>
      </top>
      <bottom style="medium">
        <color rgb="FFFF0000"/>
      </bottom>
      <diagonal/>
    </border>
    <border>
      <left style="thin">
        <color indexed="64"/>
      </left>
      <right style="medium">
        <color rgb="FFFF0000"/>
      </right>
      <top style="medium">
        <color rgb="FFFF0000"/>
      </top>
      <bottom/>
      <diagonal/>
    </border>
    <border>
      <left/>
      <right style="medium">
        <color rgb="FFFF0000"/>
      </right>
      <top/>
      <bottom/>
      <diagonal/>
    </border>
    <border>
      <left style="thin">
        <color indexed="64"/>
      </left>
      <right style="medium">
        <color rgb="FFFF0000"/>
      </right>
      <top style="thin">
        <color indexed="64"/>
      </top>
      <bottom style="thin">
        <color indexed="64"/>
      </bottom>
      <diagonal/>
    </border>
    <border>
      <left style="thin">
        <color indexed="64"/>
      </left>
      <right style="medium">
        <color rgb="FFFF0000"/>
      </right>
      <top style="thin">
        <color indexed="64"/>
      </top>
      <bottom/>
      <diagonal/>
    </border>
    <border>
      <left style="medium">
        <color rgb="FFFF0000"/>
      </left>
      <right style="medium">
        <color rgb="FFFF0000"/>
      </right>
      <top style="medium">
        <color rgb="FFFF0000"/>
      </top>
      <bottom style="medium">
        <color rgb="FFFF0000"/>
      </bottom>
      <diagonal/>
    </border>
    <border>
      <left style="thick">
        <color theme="9" tint="-0.499984740745262"/>
      </left>
      <right style="thick">
        <color theme="9" tint="-0.499984740745262"/>
      </right>
      <top/>
      <bottom style="thick">
        <color theme="9" tint="-0.499984740745262"/>
      </bottom>
      <diagonal/>
    </border>
    <border>
      <left style="medium">
        <color rgb="FFFF0000"/>
      </left>
      <right style="medium">
        <color indexed="16"/>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style="medium">
        <color indexed="16"/>
      </left>
      <right style="medium">
        <color rgb="FFFF0000"/>
      </right>
      <top style="medium">
        <color rgb="FFFF0000"/>
      </top>
      <bottom style="medium">
        <color rgb="FFFF0000"/>
      </bottom>
      <diagonal/>
    </border>
    <border>
      <left style="medium">
        <color indexed="16"/>
      </left>
      <right style="medium">
        <color rgb="FFFF0000"/>
      </right>
      <top style="thin">
        <color indexed="64"/>
      </top>
      <bottom style="thin">
        <color indexed="64"/>
      </bottom>
      <diagonal/>
    </border>
    <border>
      <left style="medium">
        <color indexed="16"/>
      </left>
      <right style="medium">
        <color rgb="FFFF0000"/>
      </right>
      <top style="thin">
        <color indexed="64"/>
      </top>
      <bottom style="medium">
        <color rgb="FFFF0000"/>
      </bottom>
      <diagonal/>
    </border>
    <border>
      <left/>
      <right style="medium">
        <color rgb="FFFF0000"/>
      </right>
      <top style="medium">
        <color rgb="FFFF0000"/>
      </top>
      <bottom style="medium">
        <color rgb="FFFF0000"/>
      </bottom>
      <diagonal/>
    </border>
    <border>
      <left style="thin">
        <color indexed="64"/>
      </left>
      <right style="medium">
        <color rgb="FFFF0000"/>
      </right>
      <top/>
      <bottom style="thin">
        <color indexed="64"/>
      </bottom>
      <diagonal/>
    </border>
    <border>
      <left style="thin">
        <color indexed="64"/>
      </left>
      <right style="medium">
        <color rgb="FFFF0000"/>
      </right>
      <top style="thin">
        <color indexed="64"/>
      </top>
      <bottom style="medium">
        <color rgb="FFFF0000"/>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diagonal/>
    </border>
    <border>
      <left/>
      <right style="medium">
        <color rgb="FFFF0000"/>
      </right>
      <top style="thin">
        <color indexed="64"/>
      </top>
      <bottom style="thin">
        <color indexed="64"/>
      </bottom>
      <diagonal/>
    </border>
    <border>
      <left style="thin">
        <color indexed="64"/>
      </left>
      <right style="medium">
        <color rgb="FFFF0000"/>
      </right>
      <top/>
      <bottom/>
      <diagonal/>
    </border>
    <border>
      <left style="medium">
        <color rgb="FFFF0000"/>
      </left>
      <right style="thin">
        <color indexed="64"/>
      </right>
      <top style="medium">
        <color rgb="FFFF0000"/>
      </top>
      <bottom style="medium">
        <color rgb="FFFF0000"/>
      </bottom>
      <diagonal/>
    </border>
    <border>
      <left style="medium">
        <color indexed="16"/>
      </left>
      <right style="medium">
        <color rgb="FFFF0000"/>
      </right>
      <top style="medium">
        <color rgb="FFFF0000"/>
      </top>
      <bottom/>
      <diagonal/>
    </border>
    <border>
      <left style="medium">
        <color indexed="16"/>
      </left>
      <right style="medium">
        <color indexed="16"/>
      </right>
      <top style="medium">
        <color rgb="FFFF0000"/>
      </top>
      <bottom style="thin">
        <color indexed="64"/>
      </bottom>
      <diagonal/>
    </border>
    <border>
      <left style="medium">
        <color rgb="FFFF0000"/>
      </left>
      <right style="medium">
        <color rgb="FFFF0000"/>
      </right>
      <top style="medium">
        <color rgb="FFFF0000"/>
      </top>
      <bottom/>
      <diagonal/>
    </border>
    <border>
      <left style="medium">
        <color indexed="16"/>
      </left>
      <right/>
      <top style="medium">
        <color rgb="FFFF0000"/>
      </top>
      <bottom/>
      <diagonal/>
    </border>
    <border>
      <left style="medium">
        <color rgb="FFFF0000"/>
      </left>
      <right style="thin">
        <color indexed="64"/>
      </right>
      <top style="medium">
        <color rgb="FFFF0000"/>
      </top>
      <bottom style="medium">
        <color theme="1"/>
      </bottom>
      <diagonal/>
    </border>
    <border>
      <left style="thin">
        <color indexed="64"/>
      </left>
      <right style="medium">
        <color rgb="FFFF0000"/>
      </right>
      <top style="medium">
        <color rgb="FFFF0000"/>
      </top>
      <bottom style="medium">
        <color theme="1"/>
      </bottom>
      <diagonal/>
    </border>
    <border>
      <left style="thin">
        <color indexed="64"/>
      </left>
      <right style="thin">
        <color indexed="64"/>
      </right>
      <top style="medium">
        <color rgb="FFFF0000"/>
      </top>
      <bottom style="medium">
        <color theme="1"/>
      </bottom>
      <diagonal/>
    </border>
    <border>
      <left style="medium">
        <color rgb="FFFF0000"/>
      </left>
      <right style="thin">
        <color indexed="64"/>
      </right>
      <top style="medium">
        <color theme="1"/>
      </top>
      <bottom style="thin">
        <color indexed="64"/>
      </bottom>
      <diagonal/>
    </border>
    <border>
      <left style="medium">
        <color rgb="FFFF0000"/>
      </left>
      <right style="medium">
        <color rgb="FFFF0000"/>
      </right>
      <top style="medium">
        <color theme="1"/>
      </top>
      <bottom style="thin">
        <color indexed="64"/>
      </bottom>
      <diagonal/>
    </border>
    <border>
      <left style="medium">
        <color rgb="FFFF0000"/>
      </left>
      <right/>
      <top style="medium">
        <color rgb="FFFF0000"/>
      </top>
      <bottom/>
      <diagonal/>
    </border>
    <border>
      <left/>
      <right style="medium">
        <color rgb="FFFF0000"/>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rgb="FFFF0000"/>
      </left>
      <right style="thin">
        <color theme="1"/>
      </right>
      <top style="thin">
        <color theme="1"/>
      </top>
      <bottom style="thin">
        <color theme="1"/>
      </bottom>
      <diagonal/>
    </border>
    <border>
      <left style="medium">
        <color rgb="FFFF0000"/>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1"/>
      </left>
      <right style="medium">
        <color rgb="FFFF0000"/>
      </right>
      <top style="medium">
        <color theme="1"/>
      </top>
      <bottom style="thin">
        <color theme="1"/>
      </bottom>
      <diagonal/>
    </border>
    <border>
      <left style="medium">
        <color rgb="FFFF0000"/>
      </left>
      <right style="thin">
        <color theme="1"/>
      </right>
      <top style="medium">
        <color theme="1"/>
      </top>
      <bottom style="thin">
        <color theme="1"/>
      </bottom>
      <diagonal/>
    </border>
    <border>
      <left style="medium">
        <color indexed="16"/>
      </left>
      <right style="thin">
        <color theme="1"/>
      </right>
      <top style="medium">
        <color theme="1"/>
      </top>
      <bottom style="thin">
        <color indexed="64"/>
      </bottom>
      <diagonal/>
    </border>
    <border>
      <left style="medium">
        <color rgb="FFFF0000"/>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rgb="FFFF0000"/>
      </top>
      <bottom style="thin">
        <color indexed="64"/>
      </bottom>
      <diagonal/>
    </border>
    <border>
      <left/>
      <right/>
      <top style="medium">
        <color rgb="FFFF0000"/>
      </top>
      <bottom/>
      <diagonal/>
    </border>
    <border>
      <left style="thin">
        <color indexed="64"/>
      </left>
      <right/>
      <top style="thin">
        <color indexed="64"/>
      </top>
      <bottom style="medium">
        <color rgb="FFFF0000"/>
      </bottom>
      <diagonal/>
    </border>
    <border>
      <left/>
      <right style="thin">
        <color indexed="64"/>
      </right>
      <top style="medium">
        <color theme="1"/>
      </top>
      <bottom style="thin">
        <color indexed="64"/>
      </bottom>
      <diagonal/>
    </border>
    <border>
      <left/>
      <right style="thin">
        <color indexed="64"/>
      </right>
      <top/>
      <bottom style="medium">
        <color rgb="FFFF0000"/>
      </bottom>
      <diagonal/>
    </border>
    <border>
      <left/>
      <right/>
      <top style="medium">
        <color rgb="FF6600FF"/>
      </top>
      <bottom/>
      <diagonal/>
    </border>
    <border>
      <left style="thin">
        <color rgb="FF6600FF"/>
      </left>
      <right/>
      <top style="thin">
        <color rgb="FF6600FF"/>
      </top>
      <bottom style="medium">
        <color rgb="FF6600FF"/>
      </bottom>
      <diagonal/>
    </border>
    <border>
      <left style="thin">
        <color rgb="FF6600FF"/>
      </left>
      <right/>
      <top style="thin">
        <color rgb="FF6600FF"/>
      </top>
      <bottom style="thin">
        <color rgb="FF6600FF"/>
      </bottom>
      <diagonal/>
    </border>
    <border>
      <left style="thin">
        <color rgb="FF6600FF"/>
      </left>
      <right/>
      <top style="medium">
        <color rgb="FFFF0000"/>
      </top>
      <bottom style="thin">
        <color rgb="FF6600FF"/>
      </bottom>
      <diagonal/>
    </border>
    <border>
      <left/>
      <right style="medium">
        <color rgb="FF6600FF"/>
      </right>
      <top style="medium">
        <color rgb="FFFF0000"/>
      </top>
      <bottom style="thin">
        <color rgb="FF6600FF"/>
      </bottom>
      <diagonal/>
    </border>
    <border>
      <left style="medium">
        <color rgb="FF6600FF"/>
      </left>
      <right/>
      <top style="medium">
        <color rgb="FFFF0000"/>
      </top>
      <bottom style="thin">
        <color rgb="FF6600FF"/>
      </bottom>
      <diagonal/>
    </border>
    <border>
      <left/>
      <right/>
      <top style="medium">
        <color rgb="FFFF0000"/>
      </top>
      <bottom style="thin">
        <color rgb="FF6600FF"/>
      </bottom>
      <diagonal/>
    </border>
    <border>
      <left/>
      <right style="thin">
        <color rgb="FF6600FF"/>
      </right>
      <top style="medium">
        <color rgb="FFFF0000"/>
      </top>
      <bottom style="thin">
        <color rgb="FF6600FF"/>
      </bottom>
      <diagonal/>
    </border>
    <border>
      <left style="medium">
        <color rgb="FFFF0000"/>
      </left>
      <right style="medium">
        <color rgb="FFFF0000"/>
      </right>
      <top/>
      <bottom style="medium">
        <color theme="1"/>
      </bottom>
      <diagonal/>
    </border>
    <border>
      <left/>
      <right style="medium">
        <color rgb="FFFF0000"/>
      </right>
      <top style="medium">
        <color rgb="FFFF0000"/>
      </top>
      <bottom/>
      <diagonal/>
    </border>
    <border>
      <left/>
      <right/>
      <top/>
      <bottom style="medium">
        <color rgb="FFFF0000"/>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right style="hair">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double">
        <color indexed="64"/>
      </top>
      <bottom style="double">
        <color indexed="64"/>
      </bottom>
      <diagonal/>
    </border>
    <border>
      <left/>
      <right style="thick">
        <color theme="3" tint="0.39997558519241921"/>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theme="0"/>
      </left>
      <right/>
      <top/>
      <bottom style="thin">
        <color theme="0"/>
      </bottom>
      <diagonal/>
    </border>
    <border>
      <left/>
      <right style="thin">
        <color theme="0"/>
      </right>
      <top/>
      <bottom style="thin">
        <color theme="0"/>
      </bottom>
      <diagonal/>
    </border>
    <border>
      <left style="thick">
        <color theme="1"/>
      </left>
      <right style="thick">
        <color theme="1"/>
      </right>
      <top style="thick">
        <color theme="1"/>
      </top>
      <bottom style="thick">
        <color theme="1"/>
      </bottom>
      <diagonal/>
    </border>
    <border>
      <left style="medium">
        <color theme="1"/>
      </left>
      <right style="medium">
        <color theme="1"/>
      </right>
      <top style="medium">
        <color theme="1"/>
      </top>
      <bottom style="medium">
        <color theme="1"/>
      </bottom>
      <diagonal/>
    </border>
    <border>
      <left style="thick">
        <color theme="1"/>
      </left>
      <right/>
      <top/>
      <bottom style="thick">
        <color theme="1"/>
      </bottom>
      <diagonal/>
    </border>
    <border>
      <left/>
      <right/>
      <top/>
      <bottom style="thick">
        <color theme="1"/>
      </bottom>
      <diagonal/>
    </border>
    <border>
      <left/>
      <right style="thick">
        <color theme="1"/>
      </right>
      <top/>
      <bottom style="thick">
        <color theme="1"/>
      </bottom>
      <diagonal/>
    </border>
    <border>
      <left style="medium">
        <color theme="1"/>
      </left>
      <right/>
      <top style="medium">
        <color theme="1"/>
      </top>
      <bottom style="medium">
        <color theme="1"/>
      </bottom>
      <diagonal/>
    </border>
    <border>
      <left style="thin">
        <color theme="1"/>
      </left>
      <right/>
      <top/>
      <bottom style="thin">
        <color theme="1"/>
      </bottom>
      <diagonal/>
    </border>
    <border>
      <left style="thin">
        <color theme="1"/>
      </left>
      <right style="medium">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thin">
        <color indexed="64"/>
      </right>
      <top style="thin">
        <color indexed="64"/>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style="thin">
        <color indexed="64"/>
      </top>
      <bottom/>
      <diagonal/>
    </border>
    <border>
      <left style="medium">
        <color theme="1"/>
      </left>
      <right/>
      <top style="thin">
        <color indexed="64"/>
      </top>
      <bottom style="thin">
        <color indexed="64"/>
      </bottom>
      <diagonal/>
    </border>
    <border>
      <left style="medium">
        <color indexed="64"/>
      </left>
      <right style="medium">
        <color theme="1"/>
      </right>
      <top style="medium">
        <color indexed="64"/>
      </top>
      <bottom style="thin">
        <color indexed="64"/>
      </bottom>
      <diagonal/>
    </border>
    <border>
      <left style="medium">
        <color indexed="64"/>
      </left>
      <right style="medium">
        <color theme="1"/>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theme="1"/>
      </left>
      <right/>
      <top style="medium">
        <color indexed="64"/>
      </top>
      <bottom style="thin">
        <color indexed="64"/>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diagonal/>
    </border>
    <border>
      <left style="medium">
        <color theme="1"/>
      </left>
      <right style="medium">
        <color theme="1"/>
      </right>
      <top style="thin">
        <color theme="1"/>
      </top>
      <bottom/>
      <diagonal/>
    </border>
    <border>
      <left style="medium">
        <color indexed="64"/>
      </left>
      <right style="thin">
        <color indexed="64"/>
      </right>
      <top/>
      <bottom/>
      <diagonal/>
    </border>
    <border>
      <left style="medium">
        <color theme="1"/>
      </left>
      <right style="medium">
        <color theme="1"/>
      </right>
      <top style="thin">
        <color indexed="64"/>
      </top>
      <bottom/>
      <diagonal/>
    </border>
    <border>
      <left style="medium">
        <color indexed="64"/>
      </left>
      <right style="medium">
        <color theme="1"/>
      </right>
      <top/>
      <bottom/>
      <diagonal/>
    </border>
    <border>
      <left style="medium">
        <color theme="1"/>
      </left>
      <right style="medium">
        <color theme="1"/>
      </right>
      <top/>
      <bottom/>
      <diagonal/>
    </border>
    <border>
      <left style="medium">
        <color theme="0"/>
      </left>
      <right style="medium">
        <color theme="0"/>
      </right>
      <top style="medium">
        <color theme="0"/>
      </top>
      <bottom style="medium">
        <color theme="0"/>
      </bottom>
      <diagonal/>
    </border>
    <border>
      <left style="medium">
        <color indexed="64"/>
      </left>
      <right style="medium">
        <color indexed="64"/>
      </right>
      <top style="thin">
        <color indexed="64"/>
      </top>
      <bottom style="medium">
        <color indexed="64"/>
      </bottom>
      <diagonal/>
    </border>
    <border>
      <left/>
      <right style="thin">
        <color theme="1"/>
      </right>
      <top/>
      <bottom style="thin">
        <color theme="1"/>
      </bottom>
      <diagonal/>
    </border>
    <border>
      <left style="medium">
        <color theme="1"/>
      </left>
      <right style="medium">
        <color theme="1"/>
      </right>
      <top/>
      <bottom style="medium">
        <color theme="1"/>
      </bottom>
      <diagonal/>
    </border>
  </borders>
  <cellStyleXfs count="7">
    <xf numFmtId="0" fontId="0" fillId="0" borderId="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0" fontId="14" fillId="0" borderId="0"/>
    <xf numFmtId="9" fontId="89" fillId="0" borderId="0" applyFont="0" applyFill="0" applyBorder="0" applyAlignment="0" applyProtection="0"/>
    <xf numFmtId="0" fontId="1" fillId="13" borderId="0" applyNumberFormat="0" applyBorder="0" applyAlignment="0" applyProtection="0"/>
  </cellStyleXfs>
  <cellXfs count="1940">
    <xf numFmtId="0" fontId="0" fillId="0" borderId="0" xfId="0"/>
    <xf numFmtId="0" fontId="0" fillId="2" borderId="0" xfId="0" applyFill="1"/>
    <xf numFmtId="49" fontId="13" fillId="2" borderId="11" xfId="0" applyNumberFormat="1" applyFont="1" applyFill="1" applyBorder="1" applyAlignment="1">
      <alignment horizontal="center"/>
    </xf>
    <xf numFmtId="0" fontId="4" fillId="0" borderId="0" xfId="0" applyFont="1"/>
    <xf numFmtId="164" fontId="13" fillId="2" borderId="5" xfId="3" applyNumberFormat="1" applyFont="1" applyFill="1" applyBorder="1" applyAlignment="1">
      <alignment horizontal="right"/>
    </xf>
    <xf numFmtId="0" fontId="0" fillId="0" borderId="0" xfId="0" applyAlignment="1">
      <alignment horizontal="center"/>
    </xf>
    <xf numFmtId="49" fontId="0" fillId="0" borderId="0" xfId="0" applyNumberFormat="1"/>
    <xf numFmtId="0" fontId="17" fillId="0" borderId="0" xfId="0" applyFont="1"/>
    <xf numFmtId="0" fontId="10" fillId="0" borderId="0" xfId="0" applyFont="1"/>
    <xf numFmtId="4" fontId="23" fillId="0" borderId="11" xfId="1" applyNumberFormat="1" applyFont="1" applyFill="1" applyBorder="1"/>
    <xf numFmtId="164" fontId="27" fillId="0" borderId="11" xfId="3" applyNumberFormat="1" applyFont="1" applyFill="1" applyBorder="1" applyAlignment="1">
      <alignment horizontal="right"/>
    </xf>
    <xf numFmtId="0" fontId="32" fillId="0" borderId="0" xfId="0" applyFont="1"/>
    <xf numFmtId="0" fontId="20" fillId="0" borderId="0" xfId="0" applyFont="1"/>
    <xf numFmtId="0" fontId="21" fillId="0" borderId="0" xfId="0" applyFont="1"/>
    <xf numFmtId="169" fontId="21" fillId="0" borderId="0" xfId="0" applyNumberFormat="1" applyFont="1"/>
    <xf numFmtId="0" fontId="4" fillId="0" borderId="0" xfId="0" applyFont="1" applyAlignment="1">
      <alignment horizontal="center"/>
    </xf>
    <xf numFmtId="0" fontId="4" fillId="0" borderId="38" xfId="0" applyFont="1" applyBorder="1" applyAlignment="1">
      <alignment horizontal="center"/>
    </xf>
    <xf numFmtId="164" fontId="4" fillId="0" borderId="0" xfId="0" applyNumberFormat="1" applyFont="1"/>
    <xf numFmtId="0" fontId="4" fillId="0" borderId="0" xfId="0" quotePrefix="1" applyFont="1" applyAlignment="1">
      <alignment horizontal="center"/>
    </xf>
    <xf numFmtId="164" fontId="4" fillId="0" borderId="0" xfId="0" applyNumberFormat="1" applyFont="1" applyAlignment="1">
      <alignment horizontal="center"/>
    </xf>
    <xf numFmtId="49" fontId="4" fillId="0" borderId="0" xfId="0" applyNumberFormat="1" applyFont="1" applyAlignment="1">
      <alignment horizontal="left"/>
    </xf>
    <xf numFmtId="164" fontId="5" fillId="0" borderId="0" xfId="0" applyNumberFormat="1" applyFont="1" applyAlignment="1">
      <alignment horizontal="center"/>
    </xf>
    <xf numFmtId="0" fontId="5" fillId="0" borderId="0" xfId="0" quotePrefix="1" applyFont="1" applyAlignment="1">
      <alignment horizontal="center"/>
    </xf>
    <xf numFmtId="164" fontId="5" fillId="0" borderId="38" xfId="0" applyNumberFormat="1" applyFont="1" applyBorder="1" applyAlignment="1">
      <alignment horizontal="center"/>
    </xf>
    <xf numFmtId="164" fontId="4" fillId="0" borderId="38" xfId="0" applyNumberFormat="1" applyFont="1" applyBorder="1"/>
    <xf numFmtId="171" fontId="4" fillId="0" borderId="0" xfId="0" applyNumberFormat="1" applyFont="1" applyAlignment="1">
      <alignment horizontal="center"/>
    </xf>
    <xf numFmtId="0" fontId="5" fillId="0" borderId="0" xfId="0" quotePrefix="1" applyFont="1" applyAlignment="1">
      <alignment horizontal="center" vertical="center"/>
    </xf>
    <xf numFmtId="172" fontId="5" fillId="0" borderId="0" xfId="0" quotePrefix="1" applyNumberFormat="1" applyFont="1" applyAlignment="1">
      <alignment horizontal="center" vertical="center"/>
    </xf>
    <xf numFmtId="0" fontId="31" fillId="0" borderId="0" xfId="0" applyFont="1"/>
    <xf numFmtId="0" fontId="4" fillId="0" borderId="1" xfId="0" applyFont="1" applyBorder="1"/>
    <xf numFmtId="0" fontId="14" fillId="0" borderId="0" xfId="0" applyFont="1"/>
    <xf numFmtId="0" fontId="21" fillId="0" borderId="0" xfId="0" applyFont="1" applyAlignment="1">
      <alignment horizontal="center"/>
    </xf>
    <xf numFmtId="0" fontId="21" fillId="2" borderId="0" xfId="0" applyFont="1" applyFill="1"/>
    <xf numFmtId="49" fontId="0" fillId="0" borderId="0" xfId="0" applyNumberFormat="1" applyAlignment="1">
      <alignment horizontal="center"/>
    </xf>
    <xf numFmtId="0" fontId="35" fillId="0" borderId="0" xfId="0" applyFont="1" applyAlignment="1">
      <alignment horizontal="left"/>
    </xf>
    <xf numFmtId="168" fontId="38" fillId="0" borderId="0" xfId="1" applyNumberFormat="1" applyFont="1" applyFill="1" applyBorder="1"/>
    <xf numFmtId="164" fontId="26" fillId="0" borderId="11" xfId="3" applyNumberFormat="1" applyFont="1" applyFill="1" applyBorder="1" applyAlignment="1">
      <alignment horizontal="right"/>
    </xf>
    <xf numFmtId="164" fontId="25" fillId="0" borderId="0" xfId="3" applyNumberFormat="1" applyFont="1" applyFill="1" applyBorder="1" applyAlignment="1">
      <alignment horizontal="right"/>
    </xf>
    <xf numFmtId="168" fontId="0" fillId="0" borderId="0" xfId="0" applyNumberFormat="1"/>
    <xf numFmtId="168" fontId="4" fillId="0" borderId="0" xfId="0" applyNumberFormat="1" applyFont="1"/>
    <xf numFmtId="0" fontId="26" fillId="0" borderId="0" xfId="0" applyFont="1"/>
    <xf numFmtId="0" fontId="46" fillId="0" borderId="0" xfId="0" applyFont="1"/>
    <xf numFmtId="4" fontId="20" fillId="0" borderId="0" xfId="0" applyNumberFormat="1" applyFont="1" applyAlignment="1">
      <alignment horizontal="right" vertical="center"/>
    </xf>
    <xf numFmtId="0" fontId="48" fillId="0" borderId="0" xfId="0" applyFont="1"/>
    <xf numFmtId="0" fontId="27" fillId="0" borderId="0" xfId="0" applyFont="1"/>
    <xf numFmtId="0" fontId="49" fillId="0" borderId="0" xfId="0" applyFont="1"/>
    <xf numFmtId="0" fontId="51" fillId="0" borderId="0" xfId="0" applyFont="1"/>
    <xf numFmtId="0" fontId="53" fillId="0" borderId="0" xfId="0" applyFont="1"/>
    <xf numFmtId="0" fontId="54" fillId="0" borderId="0" xfId="0" applyFont="1"/>
    <xf numFmtId="49" fontId="14" fillId="0" borderId="11" xfId="1" applyNumberFormat="1" applyFont="1" applyFill="1" applyBorder="1" applyAlignment="1">
      <alignment horizontal="center"/>
    </xf>
    <xf numFmtId="49" fontId="14" fillId="0" borderId="11" xfId="1" quotePrefix="1" applyNumberFormat="1" applyFont="1" applyFill="1" applyBorder="1" applyAlignment="1">
      <alignment horizontal="center"/>
    </xf>
    <xf numFmtId="0" fontId="14" fillId="0" borderId="0" xfId="0" applyFont="1" applyAlignment="1">
      <alignment horizontal="center"/>
    </xf>
    <xf numFmtId="49" fontId="14" fillId="0" borderId="0" xfId="1" applyNumberFormat="1" applyFont="1" applyFill="1" applyBorder="1" applyAlignment="1">
      <alignment horizontal="center"/>
    </xf>
    <xf numFmtId="165" fontId="50" fillId="0" borderId="0" xfId="2" applyFont="1" applyFill="1" applyAlignment="1"/>
    <xf numFmtId="165" fontId="16" fillId="0" borderId="0" xfId="2" applyFont="1" applyFill="1" applyAlignment="1" applyProtection="1">
      <protection locked="0"/>
    </xf>
    <xf numFmtId="165" fontId="29" fillId="0" borderId="0" xfId="2" applyFont="1" applyFill="1" applyAlignment="1"/>
    <xf numFmtId="0" fontId="56" fillId="0" borderId="0" xfId="0" applyFont="1"/>
    <xf numFmtId="0" fontId="4" fillId="0" borderId="0" xfId="0" applyFont="1" applyAlignment="1">
      <alignment horizontal="left"/>
    </xf>
    <xf numFmtId="0" fontId="11" fillId="0" borderId="0" xfId="0" applyFont="1" applyAlignment="1">
      <alignment horizontal="center"/>
    </xf>
    <xf numFmtId="0" fontId="57" fillId="0" borderId="0" xfId="0" applyFont="1"/>
    <xf numFmtId="49" fontId="13" fillId="0" borderId="11" xfId="0" applyNumberFormat="1" applyFont="1" applyBorder="1" applyAlignment="1">
      <alignment horizontal="center"/>
    </xf>
    <xf numFmtId="49" fontId="13" fillId="0" borderId="11" xfId="0" quotePrefix="1" applyNumberFormat="1" applyFont="1" applyBorder="1" applyAlignment="1">
      <alignment horizontal="center"/>
    </xf>
    <xf numFmtId="0" fontId="0" fillId="0" borderId="11" xfId="0" applyBorder="1" applyAlignment="1">
      <alignment horizontal="center"/>
    </xf>
    <xf numFmtId="0" fontId="13" fillId="0" borderId="11" xfId="0" applyFont="1" applyBorder="1" applyAlignment="1">
      <alignment horizontal="center"/>
    </xf>
    <xf numFmtId="0" fontId="14" fillId="0" borderId="11" xfId="0" applyFont="1" applyBorder="1" applyAlignment="1">
      <alignment horizontal="center"/>
    </xf>
    <xf numFmtId="0" fontId="23" fillId="0" borderId="11" xfId="0" applyFont="1" applyBorder="1"/>
    <xf numFmtId="0" fontId="14" fillId="0" borderId="11" xfId="0" applyFont="1" applyBorder="1"/>
    <xf numFmtId="0" fontId="14" fillId="0" borderId="42" xfId="0" applyFont="1" applyBorder="1"/>
    <xf numFmtId="164" fontId="27" fillId="0" borderId="0" xfId="3" applyNumberFormat="1" applyFont="1" applyFill="1" applyBorder="1" applyAlignment="1">
      <alignment horizontal="right"/>
    </xf>
    <xf numFmtId="0" fontId="10" fillId="0" borderId="0" xfId="0" quotePrefix="1" applyFont="1" applyAlignment="1">
      <alignment horizontal="left"/>
    </xf>
    <xf numFmtId="164" fontId="27" fillId="0" borderId="0" xfId="0" applyNumberFormat="1" applyFont="1"/>
    <xf numFmtId="164" fontId="0" fillId="0" borderId="0" xfId="0" applyNumberFormat="1"/>
    <xf numFmtId="0" fontId="13" fillId="0" borderId="52" xfId="0" applyFont="1" applyBorder="1" applyAlignment="1">
      <alignment horizontal="center"/>
    </xf>
    <xf numFmtId="0" fontId="36" fillId="0" borderId="11" xfId="0" applyFont="1" applyBorder="1" applyAlignment="1">
      <alignment horizontal="left"/>
    </xf>
    <xf numFmtId="49" fontId="13" fillId="0" borderId="0" xfId="0" quotePrefix="1" applyNumberFormat="1" applyFont="1" applyAlignment="1">
      <alignment horizontal="center"/>
    </xf>
    <xf numFmtId="49" fontId="13" fillId="0" borderId="0" xfId="0" applyNumberFormat="1" applyFont="1" applyAlignment="1">
      <alignment horizontal="center"/>
    </xf>
    <xf numFmtId="0" fontId="36" fillId="0" borderId="0" xfId="0" applyFont="1" applyAlignment="1">
      <alignment horizontal="left"/>
    </xf>
    <xf numFmtId="168" fontId="37" fillId="0" borderId="0" xfId="1" applyNumberFormat="1" applyFont="1" applyFill="1" applyBorder="1"/>
    <xf numFmtId="0" fontId="34" fillId="0" borderId="0" xfId="0" applyFont="1" applyAlignment="1">
      <alignment horizontal="left"/>
    </xf>
    <xf numFmtId="168" fontId="40" fillId="0" borderId="0" xfId="1" applyNumberFormat="1" applyFont="1" applyFill="1" applyBorder="1"/>
    <xf numFmtId="168" fontId="41" fillId="0" borderId="0" xfId="1" applyNumberFormat="1" applyFont="1" applyFill="1" applyBorder="1"/>
    <xf numFmtId="168" fontId="27" fillId="0" borderId="0" xfId="1" applyNumberFormat="1" applyFont="1" applyFill="1" applyBorder="1"/>
    <xf numFmtId="168" fontId="27" fillId="0" borderId="0" xfId="0" applyNumberFormat="1" applyFont="1"/>
    <xf numFmtId="168" fontId="41" fillId="0" borderId="0" xfId="0" quotePrefix="1" applyNumberFormat="1" applyFont="1" applyAlignment="1">
      <alignment horizontal="left"/>
    </xf>
    <xf numFmtId="168" fontId="41" fillId="0" borderId="0" xfId="0" applyNumberFormat="1" applyFont="1"/>
    <xf numFmtId="0" fontId="14" fillId="0" borderId="2" xfId="0" applyFont="1" applyBorder="1" applyAlignment="1">
      <alignment horizontal="center"/>
    </xf>
    <xf numFmtId="0" fontId="13" fillId="0" borderId="0" xfId="0" applyFont="1" applyAlignment="1">
      <alignment horizontal="center"/>
    </xf>
    <xf numFmtId="0" fontId="8" fillId="0" borderId="0" xfId="0" applyFont="1" applyAlignment="1">
      <alignment horizontal="center"/>
    </xf>
    <xf numFmtId="0" fontId="6" fillId="0" borderId="0" xfId="0" applyFont="1" applyAlignment="1">
      <alignment horizontal="right"/>
    </xf>
    <xf numFmtId="49" fontId="8" fillId="0" borderId="0" xfId="0" applyNumberFormat="1" applyFont="1" applyAlignment="1">
      <alignment horizontal="center"/>
    </xf>
    <xf numFmtId="49" fontId="9" fillId="0" borderId="0" xfId="0" applyNumberFormat="1" applyFont="1" applyAlignment="1">
      <alignment horizontal="center"/>
    </xf>
    <xf numFmtId="49" fontId="4" fillId="0" borderId="0" xfId="0" applyNumberFormat="1" applyFont="1" applyAlignment="1">
      <alignment horizontal="center"/>
    </xf>
    <xf numFmtId="0" fontId="7" fillId="0" borderId="0" xfId="0" applyFont="1"/>
    <xf numFmtId="0" fontId="6" fillId="0" borderId="0" xfId="0" applyFont="1" applyAlignment="1">
      <alignment horizontal="left"/>
    </xf>
    <xf numFmtId="0" fontId="19" fillId="0" borderId="0" xfId="0" applyFont="1" applyAlignment="1">
      <alignment horizontal="center"/>
    </xf>
    <xf numFmtId="49" fontId="5" fillId="0" borderId="0" xfId="0" applyNumberFormat="1" applyFont="1" applyAlignment="1">
      <alignment horizontal="left"/>
    </xf>
    <xf numFmtId="0" fontId="5" fillId="0" borderId="0" xfId="0" applyFont="1" applyAlignment="1">
      <alignment horizontal="left"/>
    </xf>
    <xf numFmtId="0" fontId="56" fillId="0" borderId="0" xfId="0" applyFont="1" applyAlignment="1">
      <alignment horizontal="center"/>
    </xf>
    <xf numFmtId="166" fontId="0" fillId="0" borderId="0" xfId="3" applyFont="1" applyFill="1"/>
    <xf numFmtId="4" fontId="4" fillId="0" borderId="0" xfId="0" applyNumberFormat="1" applyFont="1"/>
    <xf numFmtId="164" fontId="14" fillId="2" borderId="0" xfId="3" applyNumberFormat="1" applyFont="1" applyFill="1" applyBorder="1" applyAlignment="1">
      <alignment horizontal="right"/>
    </xf>
    <xf numFmtId="168" fontId="51" fillId="0" borderId="28" xfId="3" applyNumberFormat="1" applyFont="1" applyFill="1" applyBorder="1" applyAlignment="1">
      <alignment horizontal="right"/>
    </xf>
    <xf numFmtId="168" fontId="51" fillId="0" borderId="53" xfId="3" applyNumberFormat="1" applyFont="1" applyFill="1" applyBorder="1" applyAlignment="1">
      <alignment horizontal="right"/>
    </xf>
    <xf numFmtId="168" fontId="51" fillId="0" borderId="54" xfId="3" applyNumberFormat="1" applyFont="1" applyFill="1" applyBorder="1" applyAlignment="1">
      <alignment horizontal="right"/>
    </xf>
    <xf numFmtId="168" fontId="51" fillId="0" borderId="11" xfId="3" applyNumberFormat="1" applyFont="1" applyFill="1" applyBorder="1" applyAlignment="1">
      <alignment horizontal="right"/>
    </xf>
    <xf numFmtId="168" fontId="51" fillId="0" borderId="52" xfId="3" applyNumberFormat="1" applyFont="1" applyFill="1" applyBorder="1" applyAlignment="1">
      <alignment horizontal="right"/>
    </xf>
    <xf numFmtId="168" fontId="51" fillId="0" borderId="11" xfId="0" applyNumberFormat="1" applyFont="1" applyBorder="1"/>
    <xf numFmtId="168" fontId="51" fillId="0" borderId="54" xfId="0" applyNumberFormat="1" applyFont="1" applyBorder="1"/>
    <xf numFmtId="168" fontId="51" fillId="0" borderId="52" xfId="0" applyNumberFormat="1" applyFont="1" applyBorder="1"/>
    <xf numFmtId="168" fontId="58" fillId="0" borderId="54" xfId="0" applyNumberFormat="1" applyFont="1" applyBorder="1"/>
    <xf numFmtId="168" fontId="58" fillId="0" borderId="11" xfId="0" applyNumberFormat="1" applyFont="1" applyBorder="1"/>
    <xf numFmtId="168" fontId="58" fillId="0" borderId="52" xfId="0" applyNumberFormat="1" applyFont="1" applyBorder="1"/>
    <xf numFmtId="168" fontId="58" fillId="0" borderId="42" xfId="0" applyNumberFormat="1" applyFont="1" applyBorder="1"/>
    <xf numFmtId="168" fontId="58" fillId="0" borderId="17" xfId="0" applyNumberFormat="1" applyFont="1" applyBorder="1"/>
    <xf numFmtId="168" fontId="58" fillId="0" borderId="67" xfId="0" applyNumberFormat="1" applyFont="1" applyBorder="1"/>
    <xf numFmtId="0" fontId="47" fillId="0" borderId="0" xfId="0" applyFont="1" applyAlignment="1">
      <alignment wrapText="1"/>
    </xf>
    <xf numFmtId="164" fontId="59" fillId="0" borderId="0" xfId="0" applyNumberFormat="1" applyFont="1" applyAlignment="1">
      <alignment horizontal="right"/>
    </xf>
    <xf numFmtId="164" fontId="59" fillId="0" borderId="51" xfId="0" applyNumberFormat="1" applyFont="1" applyBorder="1" applyAlignment="1">
      <alignment horizontal="right"/>
    </xf>
    <xf numFmtId="164" fontId="59" fillId="0" borderId="0" xfId="0" applyNumberFormat="1" applyFont="1"/>
    <xf numFmtId="170" fontId="59" fillId="0" borderId="9" xfId="0" applyNumberFormat="1" applyFont="1" applyBorder="1"/>
    <xf numFmtId="49" fontId="53" fillId="0" borderId="0" xfId="0" applyNumberFormat="1" applyFont="1" applyAlignment="1">
      <alignment horizontal="center"/>
    </xf>
    <xf numFmtId="165" fontId="53" fillId="0" borderId="0" xfId="2" applyFont="1" applyFill="1" applyBorder="1" applyAlignment="1">
      <alignment horizontal="center"/>
    </xf>
    <xf numFmtId="4" fontId="53" fillId="0" borderId="0" xfId="0" applyNumberFormat="1" applyFont="1"/>
    <xf numFmtId="166" fontId="12" fillId="2" borderId="0" xfId="3" applyFont="1" applyFill="1"/>
    <xf numFmtId="166" fontId="12" fillId="0" borderId="0" xfId="3" applyFont="1" applyFill="1"/>
    <xf numFmtId="166" fontId="61" fillId="2" borderId="0" xfId="3" applyFont="1" applyFill="1"/>
    <xf numFmtId="166" fontId="12" fillId="0" borderId="0" xfId="3" applyFont="1" applyFill="1" applyAlignment="1">
      <alignment horizontal="left"/>
    </xf>
    <xf numFmtId="168" fontId="62" fillId="0" borderId="11" xfId="3" applyNumberFormat="1" applyFont="1" applyFill="1" applyBorder="1" applyAlignment="1">
      <alignment horizontal="right"/>
    </xf>
    <xf numFmtId="0" fontId="64" fillId="0" borderId="0" xfId="0" applyFont="1"/>
    <xf numFmtId="0" fontId="65" fillId="0" borderId="0" xfId="0" applyFont="1"/>
    <xf numFmtId="0" fontId="66" fillId="0" borderId="0" xfId="0" applyFont="1"/>
    <xf numFmtId="168" fontId="51" fillId="0" borderId="58" xfId="3" applyNumberFormat="1" applyFont="1" applyFill="1" applyBorder="1" applyAlignment="1">
      <alignment horizontal="right"/>
    </xf>
    <xf numFmtId="0" fontId="68" fillId="0" borderId="0" xfId="0" applyFont="1"/>
    <xf numFmtId="0" fontId="51" fillId="2" borderId="0" xfId="0" applyFont="1" applyFill="1"/>
    <xf numFmtId="49" fontId="51" fillId="0" borderId="71" xfId="1" applyNumberFormat="1" applyFont="1" applyFill="1" applyBorder="1" applyAlignment="1">
      <alignment horizontal="left" vertical="center"/>
    </xf>
    <xf numFmtId="0" fontId="58" fillId="0" borderId="0" xfId="0" applyFont="1"/>
    <xf numFmtId="0" fontId="58" fillId="0" borderId="71" xfId="0" applyFont="1" applyBorder="1" applyAlignment="1">
      <alignment horizontal="left" vertical="center"/>
    </xf>
    <xf numFmtId="0" fontId="58" fillId="0" borderId="72" xfId="0" applyFont="1" applyBorder="1" applyAlignment="1">
      <alignment horizontal="left" vertical="center"/>
    </xf>
    <xf numFmtId="0" fontId="63" fillId="0" borderId="0" xfId="0" applyFont="1" applyAlignment="1">
      <alignment wrapText="1"/>
    </xf>
    <xf numFmtId="168" fontId="48" fillId="0" borderId="11" xfId="0" applyNumberFormat="1" applyFont="1" applyBorder="1"/>
    <xf numFmtId="0" fontId="51" fillId="3" borderId="0" xfId="0" applyFont="1" applyFill="1"/>
    <xf numFmtId="0" fontId="51" fillId="0" borderId="71" xfId="0" applyFont="1" applyBorder="1" applyAlignment="1">
      <alignment horizontal="left" vertical="center"/>
    </xf>
    <xf numFmtId="49" fontId="14" fillId="0" borderId="11" xfId="1" applyNumberFormat="1" applyFont="1" applyFill="1" applyBorder="1" applyAlignment="1">
      <alignment horizontal="left"/>
    </xf>
    <xf numFmtId="0" fontId="51" fillId="0" borderId="88" xfId="0" applyFont="1" applyBorder="1" applyAlignment="1">
      <alignment horizontal="right"/>
    </xf>
    <xf numFmtId="168" fontId="51" fillId="0" borderId="91" xfId="0" applyNumberFormat="1" applyFont="1" applyBorder="1"/>
    <xf numFmtId="0" fontId="48" fillId="0" borderId="89" xfId="0" applyFont="1" applyBorder="1"/>
    <xf numFmtId="168" fontId="51" fillId="0" borderId="93" xfId="0" applyNumberFormat="1" applyFont="1" applyBorder="1"/>
    <xf numFmtId="0" fontId="51" fillId="0" borderId="93" xfId="0" applyFont="1" applyBorder="1" applyAlignment="1">
      <alignment horizontal="left"/>
    </xf>
    <xf numFmtId="0" fontId="51" fillId="0" borderId="94" xfId="0" applyFont="1" applyBorder="1"/>
    <xf numFmtId="168" fontId="51" fillId="0" borderId="90" xfId="0" applyNumberFormat="1" applyFont="1" applyBorder="1"/>
    <xf numFmtId="0" fontId="48" fillId="0" borderId="96" xfId="0" applyFont="1" applyBorder="1"/>
    <xf numFmtId="164" fontId="51" fillId="0" borderId="97" xfId="0" applyNumberFormat="1" applyFont="1" applyBorder="1"/>
    <xf numFmtId="0" fontId="51" fillId="0" borderId="98" xfId="0" applyFont="1" applyBorder="1"/>
    <xf numFmtId="168" fontId="51" fillId="0" borderId="95" xfId="0" applyNumberFormat="1" applyFont="1" applyBorder="1"/>
    <xf numFmtId="0" fontId="51" fillId="0" borderId="99" xfId="0" applyFont="1" applyBorder="1"/>
    <xf numFmtId="0" fontId="51" fillId="0" borderId="100" xfId="0" applyFont="1" applyBorder="1"/>
    <xf numFmtId="0" fontId="51" fillId="0" borderId="103" xfId="0" applyFont="1" applyBorder="1"/>
    <xf numFmtId="0" fontId="63" fillId="0" borderId="103" xfId="0" applyFont="1" applyBorder="1" applyAlignment="1">
      <alignment wrapText="1"/>
    </xf>
    <xf numFmtId="0" fontId="48" fillId="0" borderId="108" xfId="0" applyFont="1" applyBorder="1"/>
    <xf numFmtId="166" fontId="51" fillId="0" borderId="92" xfId="3" applyFont="1" applyFill="1" applyBorder="1"/>
    <xf numFmtId="0" fontId="70" fillId="0" borderId="86" xfId="0" applyFont="1" applyBorder="1"/>
    <xf numFmtId="168" fontId="51" fillId="0" borderId="94" xfId="0" applyNumberFormat="1" applyFont="1" applyBorder="1"/>
    <xf numFmtId="0" fontId="48" fillId="0" borderId="106" xfId="0" applyFont="1" applyBorder="1"/>
    <xf numFmtId="0" fontId="48" fillId="0" borderId="105" xfId="0" applyFont="1" applyBorder="1"/>
    <xf numFmtId="0" fontId="48" fillId="0" borderId="87" xfId="0" applyFont="1" applyBorder="1"/>
    <xf numFmtId="0" fontId="56" fillId="0" borderId="106" xfId="0" applyFont="1" applyBorder="1"/>
    <xf numFmtId="0" fontId="0" fillId="0" borderId="0" xfId="0" applyAlignment="1">
      <alignment wrapText="1"/>
    </xf>
    <xf numFmtId="166" fontId="4" fillId="2" borderId="0" xfId="3" applyFont="1" applyFill="1"/>
    <xf numFmtId="166" fontId="51" fillId="0" borderId="11" xfId="3" applyFont="1" applyFill="1" applyBorder="1"/>
    <xf numFmtId="49" fontId="14" fillId="0" borderId="11" xfId="0" applyNumberFormat="1" applyFont="1" applyBorder="1" applyAlignment="1">
      <alignment horizontal="left"/>
    </xf>
    <xf numFmtId="170" fontId="14" fillId="0" borderId="11" xfId="0" applyNumberFormat="1" applyFont="1" applyBorder="1"/>
    <xf numFmtId="0" fontId="75" fillId="0" borderId="11" xfId="0" applyFont="1" applyBorder="1" applyAlignment="1">
      <alignment horizontal="justify" vertical="center" wrapText="1"/>
    </xf>
    <xf numFmtId="0" fontId="14" fillId="0" borderId="54" xfId="0" applyFont="1" applyBorder="1"/>
    <xf numFmtId="166" fontId="14" fillId="0" borderId="11" xfId="3" applyFont="1" applyFill="1" applyBorder="1"/>
    <xf numFmtId="173" fontId="20" fillId="0" borderId="54" xfId="0" applyNumberFormat="1" applyFont="1" applyBorder="1"/>
    <xf numFmtId="0" fontId="14" fillId="0" borderId="17" xfId="0" applyFont="1" applyBorder="1"/>
    <xf numFmtId="3" fontId="20" fillId="0" borderId="11" xfId="0" applyNumberFormat="1" applyFont="1" applyBorder="1" applyAlignment="1">
      <alignment horizontal="center"/>
    </xf>
    <xf numFmtId="3" fontId="20" fillId="0" borderId="11" xfId="0" applyNumberFormat="1" applyFont="1" applyBorder="1"/>
    <xf numFmtId="0" fontId="14" fillId="0" borderId="50" xfId="0" applyFont="1" applyBorder="1"/>
    <xf numFmtId="0" fontId="14" fillId="0" borderId="51" xfId="0" applyFont="1" applyBorder="1"/>
    <xf numFmtId="0" fontId="77" fillId="0" borderId="67" xfId="0" applyFont="1" applyBorder="1"/>
    <xf numFmtId="0" fontId="14" fillId="0" borderId="31" xfId="0" applyFont="1" applyBorder="1"/>
    <xf numFmtId="0" fontId="14" fillId="0" borderId="67" xfId="0" applyFont="1" applyBorder="1"/>
    <xf numFmtId="0" fontId="77" fillId="0" borderId="50" xfId="0" applyFont="1" applyBorder="1"/>
    <xf numFmtId="0" fontId="14" fillId="0" borderId="58" xfId="0" applyFont="1" applyBorder="1"/>
    <xf numFmtId="0" fontId="82" fillId="0" borderId="0" xfId="0" applyFont="1" applyAlignment="1">
      <alignment wrapText="1"/>
    </xf>
    <xf numFmtId="166" fontId="83" fillId="0" borderId="0" xfId="3" applyFont="1" applyFill="1"/>
    <xf numFmtId="0" fontId="83" fillId="0" borderId="0" xfId="0" applyFont="1"/>
    <xf numFmtId="0" fontId="84" fillId="0" borderId="0" xfId="0" applyFont="1"/>
    <xf numFmtId="0" fontId="82" fillId="0" borderId="0" xfId="0" applyFont="1"/>
    <xf numFmtId="49" fontId="82" fillId="0" borderId="0" xfId="0" applyNumberFormat="1" applyFont="1" applyAlignment="1">
      <alignment wrapText="1"/>
    </xf>
    <xf numFmtId="49" fontId="27" fillId="0" borderId="11" xfId="4" applyNumberFormat="1" applyFont="1" applyBorder="1" applyAlignment="1">
      <alignment horizontal="left" vertical="center"/>
    </xf>
    <xf numFmtId="4" fontId="27" fillId="0" borderId="11" xfId="1" applyNumberFormat="1" applyFont="1" applyFill="1" applyBorder="1" applyAlignment="1">
      <alignment horizontal="left" vertical="center" wrapText="1"/>
    </xf>
    <xf numFmtId="49" fontId="27" fillId="0" borderId="11" xfId="4" applyNumberFormat="1" applyFont="1" applyBorder="1" applyAlignment="1">
      <alignment horizontal="justify" vertical="center" wrapText="1"/>
    </xf>
    <xf numFmtId="0" fontId="27" fillId="0" borderId="11" xfId="0" applyFont="1" applyBorder="1" applyAlignment="1">
      <alignment horizontal="left" vertical="center" wrapText="1"/>
    </xf>
    <xf numFmtId="0" fontId="27" fillId="0" borderId="0" xfId="0" applyFont="1" applyAlignment="1">
      <alignment vertical="center"/>
    </xf>
    <xf numFmtId="0" fontId="87" fillId="0" borderId="0" xfId="0" applyFont="1" applyAlignment="1">
      <alignment horizontal="center" vertical="center"/>
    </xf>
    <xf numFmtId="44" fontId="25" fillId="0" borderId="0" xfId="0" applyNumberFormat="1" applyFont="1" applyAlignment="1">
      <alignment horizontal="left" vertical="center"/>
    </xf>
    <xf numFmtId="166" fontId="25" fillId="0" borderId="0" xfId="0" applyNumberFormat="1" applyFont="1" applyAlignment="1">
      <alignment vertical="center"/>
    </xf>
    <xf numFmtId="166" fontId="25" fillId="0" borderId="0" xfId="0" applyNumberFormat="1" applyFont="1" applyAlignment="1">
      <alignment horizontal="center" vertical="center"/>
    </xf>
    <xf numFmtId="173" fontId="25" fillId="0" borderId="0" xfId="0" applyNumberFormat="1" applyFont="1" applyAlignment="1">
      <alignment horizontal="left" vertical="center"/>
    </xf>
    <xf numFmtId="166" fontId="0" fillId="0" borderId="0" xfId="3" applyFont="1"/>
    <xf numFmtId="166" fontId="0" fillId="0" borderId="11" xfId="3" applyFont="1" applyBorder="1"/>
    <xf numFmtId="0" fontId="3" fillId="0" borderId="0" xfId="0" applyFont="1"/>
    <xf numFmtId="0" fontId="25" fillId="0" borderId="31" xfId="0" applyFont="1" applyBorder="1" applyAlignment="1">
      <alignment horizontal="left" vertical="center"/>
    </xf>
    <xf numFmtId="0" fontId="25" fillId="0" borderId="31" xfId="0" applyFont="1" applyBorder="1" applyAlignment="1">
      <alignment horizontal="center" vertical="center"/>
    </xf>
    <xf numFmtId="0" fontId="25" fillId="0" borderId="0" xfId="0" applyFont="1" applyAlignment="1">
      <alignment horizontal="center" vertical="center"/>
    </xf>
    <xf numFmtId="49" fontId="3" fillId="0" borderId="11" xfId="1" applyNumberFormat="1" applyFont="1" applyFill="1" applyBorder="1" applyAlignment="1">
      <alignment horizontal="left"/>
    </xf>
    <xf numFmtId="166" fontId="27" fillId="0" borderId="0" xfId="3" applyFont="1" applyFill="1"/>
    <xf numFmtId="0" fontId="45" fillId="0" borderId="0" xfId="0" applyFont="1"/>
    <xf numFmtId="49" fontId="45" fillId="0" borderId="0" xfId="3" applyNumberFormat="1" applyFont="1"/>
    <xf numFmtId="49" fontId="45" fillId="0" borderId="0" xfId="3" applyNumberFormat="1" applyFont="1" applyFill="1"/>
    <xf numFmtId="49" fontId="88" fillId="0" borderId="0" xfId="3" applyNumberFormat="1" applyFont="1" applyFill="1"/>
    <xf numFmtId="166" fontId="10" fillId="0" borderId="0" xfId="3" applyFont="1"/>
    <xf numFmtId="166" fontId="45" fillId="0" borderId="0" xfId="3" applyFont="1"/>
    <xf numFmtId="9" fontId="3" fillId="0" borderId="0" xfId="0" applyNumberFormat="1" applyFont="1"/>
    <xf numFmtId="166" fontId="3" fillId="0" borderId="0" xfId="3" applyFont="1" applyFill="1" applyBorder="1"/>
    <xf numFmtId="10" fontId="3" fillId="0" borderId="0" xfId="5" applyNumberFormat="1" applyFont="1" applyFill="1" applyBorder="1"/>
    <xf numFmtId="170" fontId="59" fillId="0" borderId="0" xfId="0" applyNumberFormat="1" applyFont="1"/>
    <xf numFmtId="0" fontId="26" fillId="0" borderId="0" xfId="0" applyFont="1" applyAlignment="1">
      <alignment vertical="center"/>
    </xf>
    <xf numFmtId="166" fontId="74" fillId="0" borderId="0" xfId="3" applyFont="1" applyFill="1"/>
    <xf numFmtId="49" fontId="3" fillId="0" borderId="11" xfId="1" quotePrefix="1" applyNumberFormat="1" applyFont="1" applyFill="1" applyBorder="1" applyAlignment="1">
      <alignment horizontal="center"/>
    </xf>
    <xf numFmtId="49" fontId="3" fillId="0" borderId="11" xfId="1" applyNumberFormat="1" applyFont="1" applyFill="1" applyBorder="1" applyAlignment="1">
      <alignment horizontal="center"/>
    </xf>
    <xf numFmtId="164" fontId="26" fillId="0" borderId="0" xfId="3" applyNumberFormat="1" applyFont="1" applyFill="1" applyBorder="1" applyAlignment="1">
      <alignment horizontal="right"/>
    </xf>
    <xf numFmtId="166" fontId="3" fillId="0" borderId="0" xfId="3" applyFont="1"/>
    <xf numFmtId="0" fontId="10" fillId="0" borderId="11" xfId="0" applyFont="1" applyBorder="1"/>
    <xf numFmtId="166" fontId="74" fillId="0" borderId="113" xfId="3" applyFont="1" applyFill="1" applyBorder="1"/>
    <xf numFmtId="168" fontId="51" fillId="0" borderId="114" xfId="3" applyNumberFormat="1" applyFont="1" applyFill="1" applyBorder="1" applyAlignment="1">
      <alignment horizontal="right"/>
    </xf>
    <xf numFmtId="168" fontId="51" fillId="0" borderId="114" xfId="0" applyNumberFormat="1" applyFont="1" applyBorder="1"/>
    <xf numFmtId="168" fontId="58" fillId="0" borderId="114" xfId="0" applyNumberFormat="1" applyFont="1" applyBorder="1"/>
    <xf numFmtId="168" fontId="58" fillId="0" borderId="115" xfId="0" applyNumberFormat="1" applyFont="1" applyBorder="1"/>
    <xf numFmtId="0" fontId="51" fillId="0" borderId="118" xfId="0" applyFont="1" applyBorder="1" applyAlignment="1">
      <alignment horizontal="left" vertical="center"/>
    </xf>
    <xf numFmtId="0" fontId="69" fillId="0" borderId="123" xfId="0" applyFont="1" applyBorder="1" applyAlignment="1">
      <alignment vertical="center" wrapText="1"/>
    </xf>
    <xf numFmtId="4" fontId="63" fillId="0" borderId="124" xfId="1" applyNumberFormat="1" applyFont="1" applyFill="1" applyBorder="1" applyAlignment="1">
      <alignment horizontal="left" vertical="center" wrapText="1"/>
    </xf>
    <xf numFmtId="0" fontId="63" fillId="0" borderId="124" xfId="0" applyFont="1" applyBorder="1" applyAlignment="1">
      <alignment horizontal="left" vertical="center" wrapText="1"/>
    </xf>
    <xf numFmtId="0" fontId="63" fillId="0" borderId="124" xfId="0" quotePrefix="1" applyFont="1" applyBorder="1" applyAlignment="1">
      <alignment horizontal="left" vertical="center" wrapText="1"/>
    </xf>
    <xf numFmtId="4" fontId="63" fillId="0" borderId="124" xfId="1" quotePrefix="1" applyNumberFormat="1" applyFont="1" applyFill="1" applyBorder="1" applyAlignment="1">
      <alignment horizontal="left" vertical="center" wrapText="1"/>
    </xf>
    <xf numFmtId="0" fontId="63" fillId="0" borderId="125" xfId="0" applyFont="1" applyBorder="1" applyAlignment="1">
      <alignment horizontal="left" vertical="center" wrapText="1"/>
    </xf>
    <xf numFmtId="168" fontId="51" fillId="0" borderId="127" xfId="3" applyNumberFormat="1" applyFont="1" applyFill="1" applyBorder="1" applyAlignment="1">
      <alignment horizontal="right"/>
    </xf>
    <xf numFmtId="168" fontId="58" fillId="0" borderId="128" xfId="0" applyNumberFormat="1" applyFont="1" applyBorder="1"/>
    <xf numFmtId="168" fontId="51" fillId="0" borderId="129" xfId="3" applyNumberFormat="1" applyFont="1" applyFill="1" applyBorder="1" applyAlignment="1">
      <alignment horizontal="right"/>
    </xf>
    <xf numFmtId="168" fontId="51" fillId="0" borderId="129" xfId="0" applyNumberFormat="1" applyFont="1" applyBorder="1"/>
    <xf numFmtId="39" fontId="51" fillId="0" borderId="129" xfId="0" applyNumberFormat="1" applyFont="1" applyBorder="1"/>
    <xf numFmtId="168" fontId="58" fillId="0" borderId="129" xfId="0" applyNumberFormat="1" applyFont="1" applyBorder="1"/>
    <xf numFmtId="168" fontId="58" fillId="0" borderId="130" xfId="0" applyNumberFormat="1" applyFont="1" applyBorder="1"/>
    <xf numFmtId="168" fontId="26" fillId="0" borderId="127" xfId="3" applyNumberFormat="1" applyFont="1" applyFill="1" applyBorder="1" applyAlignment="1">
      <alignment horizontal="right"/>
    </xf>
    <xf numFmtId="168" fontId="26" fillId="0" borderId="114" xfId="1" applyNumberFormat="1" applyFont="1" applyFill="1" applyBorder="1"/>
    <xf numFmtId="49" fontId="51" fillId="0" borderId="135" xfId="1" applyNumberFormat="1" applyFont="1" applyFill="1" applyBorder="1" applyAlignment="1">
      <alignment horizontal="left" vertical="center"/>
    </xf>
    <xf numFmtId="168" fontId="51" fillId="0" borderId="141" xfId="3" applyNumberFormat="1" applyFont="1" applyFill="1" applyBorder="1" applyAlignment="1">
      <alignment horizontal="right"/>
    </xf>
    <xf numFmtId="168" fontId="51" fillId="0" borderId="142" xfId="3" applyNumberFormat="1" applyFont="1" applyFill="1" applyBorder="1" applyAlignment="1">
      <alignment horizontal="right"/>
    </xf>
    <xf numFmtId="168" fontId="51" fillId="0" borderId="144" xfId="3" applyNumberFormat="1" applyFont="1" applyFill="1" applyBorder="1" applyAlignment="1">
      <alignment horizontal="right"/>
    </xf>
    <xf numFmtId="166" fontId="74" fillId="0" borderId="145" xfId="3" applyFont="1" applyFill="1" applyBorder="1"/>
    <xf numFmtId="168" fontId="67" fillId="0" borderId="58" xfId="3" applyNumberFormat="1" applyFont="1" applyFill="1" applyBorder="1" applyAlignment="1">
      <alignment horizontal="right"/>
    </xf>
    <xf numFmtId="166" fontId="74" fillId="0" borderId="146" xfId="3" applyFont="1" applyFill="1" applyBorder="1"/>
    <xf numFmtId="166" fontId="74" fillId="0" borderId="147" xfId="3" applyFont="1" applyFill="1" applyBorder="1"/>
    <xf numFmtId="168" fontId="51" fillId="0" borderId="148" xfId="3" applyNumberFormat="1" applyFont="1" applyFill="1" applyBorder="1" applyAlignment="1">
      <alignment horizontal="right"/>
    </xf>
    <xf numFmtId="166" fontId="74" fillId="0" borderId="149" xfId="3" applyFont="1" applyFill="1" applyBorder="1"/>
    <xf numFmtId="166" fontId="74" fillId="0" borderId="150" xfId="3" applyFont="1" applyFill="1" applyBorder="1"/>
    <xf numFmtId="166" fontId="74" fillId="0" borderId="151" xfId="3" applyFont="1" applyFill="1" applyBorder="1"/>
    <xf numFmtId="4" fontId="63" fillId="0" borderId="152" xfId="1" applyNumberFormat="1" applyFont="1" applyFill="1" applyBorder="1" applyAlignment="1">
      <alignment horizontal="left" vertical="center" wrapText="1"/>
    </xf>
    <xf numFmtId="166" fontId="92" fillId="0" borderId="149" xfId="3" applyFont="1" applyFill="1" applyBorder="1"/>
    <xf numFmtId="166" fontId="74" fillId="0" borderId="11" xfId="3" applyFont="1" applyFill="1" applyBorder="1"/>
    <xf numFmtId="166" fontId="74" fillId="0" borderId="148" xfId="3" applyFont="1" applyFill="1" applyBorder="1"/>
    <xf numFmtId="166" fontId="74" fillId="0" borderId="131" xfId="3" applyFont="1" applyFill="1" applyBorder="1"/>
    <xf numFmtId="166" fontId="74" fillId="0" borderId="54" xfId="3" applyFont="1" applyFill="1" applyBorder="1"/>
    <xf numFmtId="166" fontId="74" fillId="0" borderId="58" xfId="3" applyFont="1" applyFill="1" applyBorder="1"/>
    <xf numFmtId="166" fontId="74" fillId="0" borderId="153" xfId="3" applyFont="1" applyFill="1" applyBorder="1"/>
    <xf numFmtId="166" fontId="74" fillId="0" borderId="28" xfId="3" applyFont="1" applyFill="1" applyBorder="1"/>
    <xf numFmtId="0" fontId="14" fillId="0" borderId="30" xfId="0" applyFont="1" applyBorder="1"/>
    <xf numFmtId="166" fontId="2" fillId="0" borderId="0" xfId="3" applyFont="1"/>
    <xf numFmtId="0" fontId="28" fillId="0" borderId="0" xfId="0" applyFont="1"/>
    <xf numFmtId="0" fontId="27" fillId="0" borderId="0" xfId="0" applyFont="1" applyAlignment="1">
      <alignment wrapText="1"/>
    </xf>
    <xf numFmtId="4" fontId="99" fillId="0" borderId="11" xfId="1" applyNumberFormat="1" applyFont="1" applyFill="1" applyBorder="1" applyAlignment="1">
      <alignment horizontal="left"/>
    </xf>
    <xf numFmtId="4" fontId="10" fillId="0" borderId="11" xfId="1" applyNumberFormat="1" applyFont="1" applyFill="1" applyBorder="1"/>
    <xf numFmtId="4" fontId="100" fillId="0" borderId="0" xfId="1" applyNumberFormat="1" applyFont="1" applyFill="1" applyBorder="1"/>
    <xf numFmtId="4" fontId="99" fillId="0" borderId="0" xfId="1" applyNumberFormat="1" applyFont="1" applyFill="1" applyBorder="1"/>
    <xf numFmtId="4" fontId="101" fillId="0" borderId="0" xfId="1" applyNumberFormat="1" applyFont="1" applyFill="1" applyBorder="1"/>
    <xf numFmtId="4" fontId="10" fillId="0" borderId="0" xfId="1" applyNumberFormat="1" applyFont="1" applyFill="1" applyBorder="1"/>
    <xf numFmtId="0" fontId="10" fillId="0" borderId="52" xfId="0" applyFont="1" applyBorder="1"/>
    <xf numFmtId="0" fontId="10" fillId="0" borderId="52" xfId="0" quotePrefix="1" applyFont="1" applyBorder="1" applyAlignment="1">
      <alignment horizontal="left"/>
    </xf>
    <xf numFmtId="4" fontId="10" fillId="0" borderId="52" xfId="1" applyNumberFormat="1" applyFont="1" applyFill="1" applyBorder="1"/>
    <xf numFmtId="4" fontId="10" fillId="0" borderId="22" xfId="1" applyNumberFormat="1" applyFont="1" applyFill="1" applyBorder="1"/>
    <xf numFmtId="0" fontId="24" fillId="0" borderId="0" xfId="0" applyFont="1"/>
    <xf numFmtId="0" fontId="24" fillId="0" borderId="0" xfId="0" applyFont="1" applyAlignment="1">
      <alignment horizontal="center"/>
    </xf>
    <xf numFmtId="0" fontId="14" fillId="0" borderId="0" xfId="0" applyFont="1" applyAlignment="1">
      <alignment horizontal="left"/>
    </xf>
    <xf numFmtId="166" fontId="26" fillId="0" borderId="132" xfId="3" applyFont="1" applyFill="1" applyBorder="1"/>
    <xf numFmtId="169" fontId="20" fillId="0" borderId="54" xfId="0" applyNumberFormat="1" applyFont="1" applyBorder="1"/>
    <xf numFmtId="0" fontId="15" fillId="0" borderId="11" xfId="0" applyFont="1" applyBorder="1"/>
    <xf numFmtId="49" fontId="8" fillId="0" borderId="50" xfId="0" applyNumberFormat="1" applyFont="1" applyBorder="1" applyAlignment="1">
      <alignment horizontal="center"/>
    </xf>
    <xf numFmtId="0" fontId="0" fillId="0" borderId="51" xfId="0" applyBorder="1"/>
    <xf numFmtId="0" fontId="53" fillId="0" borderId="18" xfId="0" quotePrefix="1" applyFont="1" applyBorder="1" applyAlignment="1">
      <alignment horizontal="left"/>
    </xf>
    <xf numFmtId="0" fontId="59" fillId="0" borderId="18" xfId="0" applyFont="1" applyBorder="1"/>
    <xf numFmtId="170" fontId="53" fillId="0" borderId="7" xfId="0" applyNumberFormat="1" applyFont="1" applyBorder="1"/>
    <xf numFmtId="170" fontId="53" fillId="0" borderId="25" xfId="0" applyNumberFormat="1" applyFont="1" applyBorder="1"/>
    <xf numFmtId="0" fontId="3" fillId="0" borderId="1" xfId="0" applyFont="1" applyBorder="1"/>
    <xf numFmtId="44" fontId="0" fillId="0" borderId="0" xfId="0" applyNumberFormat="1"/>
    <xf numFmtId="0" fontId="0" fillId="0" borderId="0" xfId="0" quotePrefix="1"/>
    <xf numFmtId="0" fontId="78" fillId="0" borderId="0" xfId="0" applyFont="1"/>
    <xf numFmtId="0" fontId="78" fillId="0" borderId="2" xfId="0" applyFont="1" applyBorder="1"/>
    <xf numFmtId="169" fontId="78" fillId="0" borderId="23" xfId="0" quotePrefix="1" applyNumberFormat="1" applyFont="1" applyBorder="1" applyAlignment="1">
      <alignment horizontal="left"/>
    </xf>
    <xf numFmtId="169" fontId="78" fillId="0" borderId="23" xfId="0" applyNumberFormat="1" applyFont="1" applyBorder="1"/>
    <xf numFmtId="0" fontId="78" fillId="0" borderId="2" xfId="0" quotePrefix="1" applyFont="1" applyBorder="1" applyAlignment="1">
      <alignment horizontal="left" wrapText="1"/>
    </xf>
    <xf numFmtId="166" fontId="78" fillId="0" borderId="23" xfId="3" applyFont="1" applyFill="1" applyBorder="1"/>
    <xf numFmtId="169" fontId="78" fillId="0" borderId="75" xfId="0" applyNumberFormat="1" applyFont="1" applyBorder="1"/>
    <xf numFmtId="169" fontId="78" fillId="0" borderId="73" xfId="0" applyNumberFormat="1" applyFont="1" applyBorder="1"/>
    <xf numFmtId="0" fontId="78" fillId="0" borderId="46" xfId="0" applyFont="1" applyBorder="1" applyAlignment="1">
      <alignment horizontal="left"/>
    </xf>
    <xf numFmtId="0" fontId="78" fillId="0" borderId="46" xfId="0" quotePrefix="1" applyFont="1" applyBorder="1" applyAlignment="1">
      <alignment wrapText="1"/>
    </xf>
    <xf numFmtId="0" fontId="78" fillId="0" borderId="46" xfId="0" applyFont="1" applyBorder="1" applyAlignment="1">
      <alignment wrapText="1"/>
    </xf>
    <xf numFmtId="169" fontId="78" fillId="0" borderId="0" xfId="0" applyNumberFormat="1" applyFont="1"/>
    <xf numFmtId="169" fontId="78" fillId="0" borderId="11" xfId="0" applyNumberFormat="1" applyFont="1" applyBorder="1"/>
    <xf numFmtId="169" fontId="80" fillId="0" borderId="0" xfId="0" applyNumberFormat="1" applyFont="1"/>
    <xf numFmtId="0" fontId="78" fillId="0" borderId="39" xfId="0" quotePrefix="1" applyFont="1" applyBorder="1" applyAlignment="1">
      <alignment horizontal="left"/>
    </xf>
    <xf numFmtId="0" fontId="78" fillId="0" borderId="2" xfId="0" quotePrefix="1" applyFont="1" applyBorder="1" applyAlignment="1">
      <alignment horizontal="left"/>
    </xf>
    <xf numFmtId="0" fontId="78" fillId="0" borderId="2" xfId="0" applyFont="1" applyBorder="1" applyAlignment="1">
      <alignment wrapText="1"/>
    </xf>
    <xf numFmtId="0" fontId="78" fillId="0" borderId="0" xfId="0" applyFont="1" applyAlignment="1">
      <alignment horizontal="left" wrapText="1"/>
    </xf>
    <xf numFmtId="0" fontId="78" fillId="0" borderId="2" xfId="0" applyFont="1" applyBorder="1" applyAlignment="1">
      <alignment horizontal="left"/>
    </xf>
    <xf numFmtId="0" fontId="78" fillId="0" borderId="4" xfId="0" applyFont="1" applyBorder="1" applyAlignment="1">
      <alignment horizontal="center"/>
    </xf>
    <xf numFmtId="49" fontId="85" fillId="4" borderId="11" xfId="0" applyNumberFormat="1" applyFont="1" applyFill="1" applyBorder="1" applyAlignment="1">
      <alignment horizontal="center" vertical="top" wrapText="1"/>
    </xf>
    <xf numFmtId="49" fontId="28" fillId="4" borderId="27" xfId="1" applyNumberFormat="1" applyFont="1" applyFill="1" applyBorder="1" applyAlignment="1">
      <alignment horizontal="left"/>
    </xf>
    <xf numFmtId="164" fontId="39" fillId="4" borderId="15" xfId="1" applyNumberFormat="1" applyFont="1" applyFill="1" applyBorder="1"/>
    <xf numFmtId="49" fontId="28" fillId="4" borderId="10" xfId="1" applyNumberFormat="1" applyFont="1" applyFill="1" applyBorder="1" applyAlignment="1">
      <alignment horizontal="left"/>
    </xf>
    <xf numFmtId="4" fontId="28" fillId="4" borderId="11" xfId="1" applyNumberFormat="1" applyFont="1" applyFill="1" applyBorder="1"/>
    <xf numFmtId="164" fontId="28" fillId="4" borderId="11" xfId="1" applyNumberFormat="1" applyFont="1" applyFill="1" applyBorder="1"/>
    <xf numFmtId="164" fontId="28" fillId="4" borderId="52" xfId="1" applyNumberFormat="1" applyFont="1" applyFill="1" applyBorder="1"/>
    <xf numFmtId="164" fontId="28" fillId="4" borderId="11" xfId="1" quotePrefix="1" applyNumberFormat="1" applyFont="1" applyFill="1" applyBorder="1"/>
    <xf numFmtId="164" fontId="28" fillId="4" borderId="11" xfId="0" applyNumberFormat="1" applyFont="1" applyFill="1" applyBorder="1"/>
    <xf numFmtId="164" fontId="28" fillId="4" borderId="52" xfId="0" applyNumberFormat="1" applyFont="1" applyFill="1" applyBorder="1" applyAlignment="1">
      <alignment horizontal="right"/>
    </xf>
    <xf numFmtId="49" fontId="28" fillId="4" borderId="16" xfId="1" applyNumberFormat="1" applyFont="1" applyFill="1" applyBorder="1" applyAlignment="1">
      <alignment horizontal="left"/>
    </xf>
    <xf numFmtId="4" fontId="28" fillId="4" borderId="17" xfId="1" applyNumberFormat="1" applyFont="1" applyFill="1" applyBorder="1"/>
    <xf numFmtId="164" fontId="28" fillId="4" borderId="11" xfId="0" applyNumberFormat="1" applyFont="1" applyFill="1" applyBorder="1" applyAlignment="1">
      <alignment horizontal="right"/>
    </xf>
    <xf numFmtId="49" fontId="28" fillId="4" borderId="11" xfId="1" applyNumberFormat="1" applyFont="1" applyFill="1" applyBorder="1" applyAlignment="1">
      <alignment horizontal="left"/>
    </xf>
    <xf numFmtId="4" fontId="28" fillId="4" borderId="11" xfId="1" applyNumberFormat="1" applyFont="1" applyFill="1" applyBorder="1" applyAlignment="1">
      <alignment horizontal="left" wrapText="1"/>
    </xf>
    <xf numFmtId="164" fontId="28" fillId="4" borderId="50" xfId="0" applyNumberFormat="1" applyFont="1" applyFill="1" applyBorder="1"/>
    <xf numFmtId="164" fontId="28" fillId="4" borderId="50" xfId="0" applyNumberFormat="1" applyFont="1" applyFill="1" applyBorder="1" applyAlignment="1">
      <alignment horizontal="right"/>
    </xf>
    <xf numFmtId="164" fontId="28" fillId="4" borderId="11" xfId="1" applyNumberFormat="1" applyFont="1" applyFill="1" applyBorder="1" applyAlignment="1">
      <alignment horizontal="right"/>
    </xf>
    <xf numFmtId="164" fontId="28" fillId="4" borderId="52" xfId="1" applyNumberFormat="1" applyFont="1" applyFill="1" applyBorder="1" applyAlignment="1">
      <alignment horizontal="right"/>
    </xf>
    <xf numFmtId="164" fontId="28" fillId="4" borderId="30" xfId="1" applyNumberFormat="1" applyFont="1" applyFill="1" applyBorder="1" applyAlignment="1">
      <alignment horizontal="right"/>
    </xf>
    <xf numFmtId="4" fontId="28" fillId="4" borderId="52" xfId="1" applyNumberFormat="1" applyFont="1" applyFill="1" applyBorder="1"/>
    <xf numFmtId="164" fontId="28" fillId="4" borderId="49" xfId="1" applyNumberFormat="1" applyFont="1" applyFill="1" applyBorder="1" applyAlignment="1">
      <alignment horizontal="right"/>
    </xf>
    <xf numFmtId="164" fontId="28" fillId="4" borderId="0" xfId="1" applyNumberFormat="1" applyFont="1" applyFill="1" applyBorder="1" applyAlignment="1">
      <alignment horizontal="right"/>
    </xf>
    <xf numFmtId="164" fontId="28" fillId="4" borderId="57" xfId="1" applyNumberFormat="1" applyFont="1" applyFill="1" applyBorder="1" applyAlignment="1">
      <alignment horizontal="right"/>
    </xf>
    <xf numFmtId="4" fontId="28" fillId="4" borderId="31" xfId="1" applyNumberFormat="1" applyFont="1" applyFill="1" applyBorder="1"/>
    <xf numFmtId="4" fontId="28" fillId="4" borderId="11" xfId="1" applyNumberFormat="1" applyFont="1" applyFill="1" applyBorder="1" applyAlignment="1">
      <alignment wrapText="1"/>
    </xf>
    <xf numFmtId="164" fontId="26" fillId="4" borderId="11" xfId="3" applyNumberFormat="1" applyFont="1" applyFill="1" applyBorder="1" applyAlignment="1">
      <alignment horizontal="right"/>
    </xf>
    <xf numFmtId="168" fontId="36" fillId="4" borderId="11" xfId="1" applyNumberFormat="1" applyFont="1" applyFill="1" applyBorder="1"/>
    <xf numFmtId="168" fontId="58" fillId="0" borderId="157" xfId="0" applyNumberFormat="1" applyFont="1" applyBorder="1"/>
    <xf numFmtId="168" fontId="51" fillId="0" borderId="158" xfId="3" applyNumberFormat="1" applyFont="1" applyFill="1" applyBorder="1" applyAlignment="1">
      <alignment horizontal="right"/>
    </xf>
    <xf numFmtId="168" fontId="51" fillId="0" borderId="0" xfId="0" applyNumberFormat="1" applyFont="1"/>
    <xf numFmtId="49" fontId="14" fillId="4" borderId="11" xfId="1" applyNumberFormat="1" applyFont="1" applyFill="1" applyBorder="1" applyAlignment="1">
      <alignment horizontal="left"/>
    </xf>
    <xf numFmtId="168" fontId="108" fillId="0" borderId="11" xfId="3" applyNumberFormat="1" applyFont="1" applyFill="1" applyBorder="1" applyAlignment="1">
      <alignment horizontal="right"/>
    </xf>
    <xf numFmtId="168" fontId="108" fillId="0" borderId="11" xfId="0" applyNumberFormat="1" applyFont="1" applyBorder="1"/>
    <xf numFmtId="0" fontId="108" fillId="0" borderId="0" xfId="0" applyFont="1"/>
    <xf numFmtId="168" fontId="109" fillId="0" borderId="11" xfId="0" applyNumberFormat="1" applyFont="1" applyBorder="1"/>
    <xf numFmtId="0" fontId="51" fillId="8" borderId="137" xfId="0" applyFont="1" applyFill="1" applyBorder="1" applyAlignment="1">
      <alignment textRotation="90" wrapText="1"/>
    </xf>
    <xf numFmtId="0" fontId="63" fillId="8" borderId="136" xfId="0" applyFont="1" applyFill="1" applyBorder="1" applyAlignment="1">
      <alignment vertical="center" textRotation="90" wrapText="1"/>
    </xf>
    <xf numFmtId="0" fontId="63" fillId="8" borderId="134" xfId="0" applyFont="1" applyFill="1" applyBorder="1" applyAlignment="1">
      <alignment textRotation="90" wrapText="1"/>
    </xf>
    <xf numFmtId="0" fontId="91" fillId="8" borderId="113" xfId="0" applyFont="1" applyFill="1" applyBorder="1" applyAlignment="1">
      <alignment horizontal="center" vertical="center" wrapText="1"/>
    </xf>
    <xf numFmtId="0" fontId="91" fillId="8" borderId="138" xfId="0" applyFont="1" applyFill="1" applyBorder="1" applyAlignment="1">
      <alignment horizontal="center" vertical="center" wrapText="1"/>
    </xf>
    <xf numFmtId="0" fontId="91" fillId="8" borderId="140" xfId="0" applyFont="1" applyFill="1" applyBorder="1" applyAlignment="1">
      <alignment horizontal="center" vertical="center" wrapText="1"/>
    </xf>
    <xf numFmtId="0" fontId="91" fillId="8" borderId="112" xfId="0" quotePrefix="1" applyFont="1" applyFill="1" applyBorder="1" applyAlignment="1">
      <alignment horizontal="center" vertical="center" wrapText="1"/>
    </xf>
    <xf numFmtId="0" fontId="91" fillId="8" borderId="140" xfId="0" quotePrefix="1" applyFont="1" applyFill="1" applyBorder="1" applyAlignment="1">
      <alignment horizontal="center" vertical="center" wrapText="1"/>
    </xf>
    <xf numFmtId="0" fontId="91" fillId="8" borderId="51" xfId="0" applyFont="1" applyFill="1" applyBorder="1" applyAlignment="1">
      <alignment horizontal="center" vertical="center" wrapText="1"/>
    </xf>
    <xf numFmtId="0" fontId="63" fillId="8" borderId="49" xfId="0" applyFont="1" applyFill="1" applyBorder="1" applyAlignment="1">
      <alignment horizontal="center" vertical="center" wrapText="1"/>
    </xf>
    <xf numFmtId="0" fontId="63" fillId="8" borderId="58" xfId="0" applyFont="1" applyFill="1" applyBorder="1" applyAlignment="1">
      <alignment horizontal="center" vertical="center" wrapText="1"/>
    </xf>
    <xf numFmtId="0" fontId="91" fillId="8" borderId="139" xfId="0" quotePrefix="1" applyFont="1" applyFill="1" applyBorder="1" applyAlignment="1">
      <alignment horizontal="center" vertical="center" wrapText="1"/>
    </xf>
    <xf numFmtId="0" fontId="63" fillId="8" borderId="58" xfId="0" quotePrefix="1" applyFont="1" applyFill="1" applyBorder="1" applyAlignment="1">
      <alignment horizontal="center" vertical="center" wrapText="1"/>
    </xf>
    <xf numFmtId="0" fontId="63" fillId="8" borderId="155" xfId="0" quotePrefix="1" applyFont="1" applyFill="1" applyBorder="1" applyAlignment="1">
      <alignment horizontal="center" vertical="center" wrapText="1"/>
    </xf>
    <xf numFmtId="0" fontId="63" fillId="8" borderId="11" xfId="0" quotePrefix="1" applyFont="1" applyFill="1" applyBorder="1" applyAlignment="1">
      <alignment horizontal="center" vertical="center" wrapText="1"/>
    </xf>
    <xf numFmtId="0" fontId="91" fillId="8" borderId="51" xfId="0" quotePrefix="1" applyFont="1" applyFill="1" applyBorder="1" applyAlignment="1">
      <alignment horizontal="center" vertical="center" wrapText="1"/>
    </xf>
    <xf numFmtId="0" fontId="63" fillId="8" borderId="28" xfId="0" quotePrefix="1" applyFont="1" applyFill="1" applyBorder="1" applyAlignment="1">
      <alignment horizontal="center" vertical="center" wrapText="1"/>
    </xf>
    <xf numFmtId="0" fontId="63" fillId="8" borderId="53" xfId="0" quotePrefix="1" applyFont="1" applyFill="1" applyBorder="1" applyAlignment="1">
      <alignment horizontal="center" vertical="center" wrapText="1"/>
    </xf>
    <xf numFmtId="0" fontId="91" fillId="8" borderId="143" xfId="0" quotePrefix="1" applyFont="1" applyFill="1" applyBorder="1" applyAlignment="1">
      <alignment horizontal="center" vertical="center" wrapText="1"/>
    </xf>
    <xf numFmtId="168" fontId="51" fillId="10" borderId="121" xfId="0" applyNumberFormat="1" applyFont="1" applyFill="1" applyBorder="1"/>
    <xf numFmtId="168" fontId="51" fillId="10" borderId="119" xfId="0" applyNumberFormat="1" applyFont="1" applyFill="1" applyBorder="1"/>
    <xf numFmtId="168" fontId="51" fillId="10" borderId="120" xfId="0" applyNumberFormat="1" applyFont="1" applyFill="1" applyBorder="1"/>
    <xf numFmtId="168" fontId="51" fillId="10" borderId="111" xfId="0" applyNumberFormat="1" applyFont="1" applyFill="1" applyBorder="1"/>
    <xf numFmtId="168" fontId="51" fillId="10" borderId="159" xfId="0" applyNumberFormat="1" applyFont="1" applyFill="1" applyBorder="1"/>
    <xf numFmtId="168" fontId="51" fillId="10" borderId="133" xfId="0" applyNumberFormat="1" applyFont="1" applyFill="1" applyBorder="1"/>
    <xf numFmtId="168" fontId="51" fillId="10" borderId="122" xfId="0" applyNumberFormat="1" applyFont="1" applyFill="1" applyBorder="1"/>
    <xf numFmtId="168" fontId="51" fillId="10" borderId="116" xfId="0" applyNumberFormat="1" applyFont="1" applyFill="1" applyBorder="1"/>
    <xf numFmtId="168" fontId="51" fillId="10" borderId="126" xfId="3" applyNumberFormat="1" applyFont="1" applyFill="1" applyBorder="1" applyAlignment="1">
      <alignment horizontal="right"/>
    </xf>
    <xf numFmtId="0" fontId="48" fillId="8" borderId="104" xfId="0" applyFont="1" applyFill="1" applyBorder="1"/>
    <xf numFmtId="168" fontId="51" fillId="8" borderId="117" xfId="0" applyNumberFormat="1" applyFont="1" applyFill="1" applyBorder="1"/>
    <xf numFmtId="0" fontId="10" fillId="0" borderId="38" xfId="0" applyFont="1" applyBorder="1"/>
    <xf numFmtId="173" fontId="0" fillId="0" borderId="0" xfId="0" applyNumberFormat="1"/>
    <xf numFmtId="0" fontId="0" fillId="0" borderId="2" xfId="0" applyBorder="1"/>
    <xf numFmtId="49" fontId="20" fillId="0" borderId="2" xfId="0" applyNumberFormat="1" applyFont="1" applyBorder="1" applyAlignment="1">
      <alignment horizontal="center"/>
    </xf>
    <xf numFmtId="166" fontId="20" fillId="0" borderId="2" xfId="3" applyFont="1" applyFill="1" applyBorder="1"/>
    <xf numFmtId="166" fontId="0" fillId="0" borderId="2" xfId="3" applyFont="1" applyFill="1" applyBorder="1"/>
    <xf numFmtId="166" fontId="20" fillId="0" borderId="2" xfId="3" quotePrefix="1" applyFont="1" applyFill="1" applyBorder="1" applyAlignment="1">
      <alignment horizontal="right"/>
    </xf>
    <xf numFmtId="49" fontId="0" fillId="0" borderId="2" xfId="0" applyNumberFormat="1" applyBorder="1" applyAlignment="1">
      <alignment horizontal="center"/>
    </xf>
    <xf numFmtId="43" fontId="0" fillId="0" borderId="2" xfId="2" applyNumberFormat="1" applyFont="1" applyFill="1" applyBorder="1"/>
    <xf numFmtId="0" fontId="20" fillId="0" borderId="2" xfId="0" applyFont="1" applyBorder="1" applyAlignment="1">
      <alignment horizontal="center"/>
    </xf>
    <xf numFmtId="49" fontId="0" fillId="0" borderId="2" xfId="0" applyNumberFormat="1" applyBorder="1"/>
    <xf numFmtId="0" fontId="4" fillId="0" borderId="11" xfId="0" applyFont="1" applyBorder="1" applyAlignment="1">
      <alignment horizontal="center"/>
    </xf>
    <xf numFmtId="164" fontId="4" fillId="0" borderId="11" xfId="0" applyNumberFormat="1" applyFont="1" applyBorder="1"/>
    <xf numFmtId="49" fontId="20" fillId="12" borderId="11" xfId="0" applyNumberFormat="1" applyFont="1" applyFill="1" applyBorder="1"/>
    <xf numFmtId="0" fontId="30" fillId="11" borderId="11" xfId="0" applyFont="1" applyFill="1" applyBorder="1" applyAlignment="1">
      <alignment horizontal="center" vertical="center" textRotation="90" wrapText="1"/>
    </xf>
    <xf numFmtId="0" fontId="30" fillId="11" borderId="11" xfId="0" quotePrefix="1" applyFont="1" applyFill="1" applyBorder="1" applyAlignment="1">
      <alignment horizontal="center" vertical="center" textRotation="90" wrapText="1"/>
    </xf>
    <xf numFmtId="49" fontId="30" fillId="11" borderId="11" xfId="0" quotePrefix="1" applyNumberFormat="1" applyFont="1" applyFill="1" applyBorder="1" applyAlignment="1">
      <alignment horizontal="center" vertical="center" textRotation="90" wrapText="1"/>
    </xf>
    <xf numFmtId="164" fontId="42" fillId="12" borderId="43" xfId="3" applyNumberFormat="1" applyFont="1" applyFill="1" applyBorder="1" applyAlignment="1">
      <alignment horizontal="right"/>
    </xf>
    <xf numFmtId="0" fontId="10" fillId="11" borderId="0" xfId="0" applyFont="1" applyFill="1"/>
    <xf numFmtId="0" fontId="78" fillId="0" borderId="0" xfId="0" applyFont="1" applyAlignment="1">
      <alignment horizontal="center" vertical="top" wrapText="1"/>
    </xf>
    <xf numFmtId="169" fontId="80" fillId="0" borderId="11" xfId="0" applyNumberFormat="1" applyFont="1" applyBorder="1"/>
    <xf numFmtId="0" fontId="78" fillId="0" borderId="0" xfId="0" applyFont="1" applyAlignment="1">
      <alignment vertical="top" wrapText="1"/>
    </xf>
    <xf numFmtId="0" fontId="0" fillId="0" borderId="54" xfId="0" applyBorder="1"/>
    <xf numFmtId="0" fontId="14" fillId="0" borderId="11" xfId="0" applyFont="1" applyBorder="1" applyAlignment="1">
      <alignment horizontal="left"/>
    </xf>
    <xf numFmtId="169" fontId="12" fillId="0" borderId="0" xfId="0" applyNumberFormat="1" applyFont="1"/>
    <xf numFmtId="0" fontId="78" fillId="0" borderId="173" xfId="0" applyFont="1" applyBorder="1"/>
    <xf numFmtId="0" fontId="80" fillId="0" borderId="171" xfId="0" applyFont="1" applyBorder="1" applyAlignment="1">
      <alignment wrapText="1"/>
    </xf>
    <xf numFmtId="0" fontId="78" fillId="0" borderId="51" xfId="0" applyFont="1" applyBorder="1"/>
    <xf numFmtId="0" fontId="78" fillId="0" borderId="11" xfId="0" applyFont="1" applyBorder="1"/>
    <xf numFmtId="169" fontId="105" fillId="0" borderId="11" xfId="0" applyNumberFormat="1" applyFont="1" applyBorder="1"/>
    <xf numFmtId="0" fontId="117" fillId="6" borderId="11" xfId="0" applyFont="1" applyFill="1" applyBorder="1" applyAlignment="1">
      <alignment vertical="center" wrapText="1"/>
    </xf>
    <xf numFmtId="0" fontId="0" fillId="4" borderId="0" xfId="0" applyFill="1"/>
    <xf numFmtId="0" fontId="85" fillId="0" borderId="11" xfId="0" applyFont="1" applyBorder="1" applyAlignment="1">
      <alignment vertical="center" wrapText="1"/>
    </xf>
    <xf numFmtId="0" fontId="85" fillId="0" borderId="11" xfId="0" applyFont="1" applyBorder="1" applyAlignment="1">
      <alignment horizontal="left" vertical="center" wrapText="1"/>
    </xf>
    <xf numFmtId="0" fontId="80" fillId="0" borderId="0" xfId="0" applyFont="1" applyAlignment="1">
      <alignment horizontal="center"/>
    </xf>
    <xf numFmtId="0" fontId="30" fillId="0" borderId="11" xfId="0" applyFont="1" applyBorder="1" applyAlignment="1">
      <alignment horizontal="center" vertical="center" textRotation="90" wrapText="1"/>
    </xf>
    <xf numFmtId="0" fontId="30" fillId="0" borderId="11" xfId="0" quotePrefix="1" applyFont="1" applyBorder="1" applyAlignment="1">
      <alignment horizontal="center" vertical="center" textRotation="90" wrapText="1"/>
    </xf>
    <xf numFmtId="0" fontId="11" fillId="0" borderId="28" xfId="0" applyFont="1" applyBorder="1" applyAlignment="1">
      <alignment horizontal="center"/>
    </xf>
    <xf numFmtId="49" fontId="11" fillId="0" borderId="28" xfId="0" applyNumberFormat="1" applyFont="1" applyBorder="1" applyAlignment="1">
      <alignment horizontal="center"/>
    </xf>
    <xf numFmtId="49" fontId="11" fillId="0" borderId="48" xfId="0" applyNumberFormat="1" applyFont="1" applyBorder="1" applyAlignment="1">
      <alignment horizontal="center"/>
    </xf>
    <xf numFmtId="0" fontId="4" fillId="0" borderId="35" xfId="0" quotePrefix="1" applyFont="1" applyBorder="1" applyAlignment="1">
      <alignment horizontal="left"/>
    </xf>
    <xf numFmtId="166" fontId="11" fillId="0" borderId="5" xfId="3" applyFont="1" applyFill="1" applyBorder="1" applyAlignment="1">
      <alignment horizontal="center"/>
    </xf>
    <xf numFmtId="0" fontId="11" fillId="0" borderId="11" xfId="0" applyFont="1" applyBorder="1" applyAlignment="1">
      <alignment horizontal="center"/>
    </xf>
    <xf numFmtId="49" fontId="11" fillId="0" borderId="11" xfId="0" applyNumberFormat="1" applyFont="1" applyBorder="1" applyAlignment="1">
      <alignment horizontal="center"/>
    </xf>
    <xf numFmtId="49" fontId="11" fillId="0" borderId="12" xfId="0" quotePrefix="1" applyNumberFormat="1" applyFont="1" applyBorder="1" applyAlignment="1">
      <alignment horizontal="center"/>
    </xf>
    <xf numFmtId="0" fontId="4" fillId="0" borderId="32" xfId="0" quotePrefix="1" applyFont="1" applyBorder="1" applyAlignment="1">
      <alignment horizontal="left"/>
    </xf>
    <xf numFmtId="166" fontId="11" fillId="0" borderId="13" xfId="3" applyFont="1" applyFill="1" applyBorder="1" applyAlignment="1">
      <alignment horizontal="center"/>
    </xf>
    <xf numFmtId="0" fontId="4" fillId="0" borderId="20" xfId="0" quotePrefix="1" applyFont="1" applyBorder="1" applyAlignment="1">
      <alignment horizontal="left"/>
    </xf>
    <xf numFmtId="166" fontId="11" fillId="0" borderId="3" xfId="3" applyFont="1" applyFill="1" applyBorder="1" applyAlignment="1">
      <alignment horizontal="center"/>
    </xf>
    <xf numFmtId="166" fontId="11" fillId="0" borderId="83" xfId="3" applyFont="1" applyFill="1" applyBorder="1" applyAlignment="1">
      <alignment horizontal="center" vertical="center" wrapText="1"/>
    </xf>
    <xf numFmtId="166" fontId="61" fillId="0" borderId="0" xfId="3" applyFont="1" applyFill="1"/>
    <xf numFmtId="166" fontId="4" fillId="0" borderId="0" xfId="3" applyFont="1" applyFill="1"/>
    <xf numFmtId="0" fontId="21" fillId="0" borderId="0" xfId="0" applyFont="1" applyAlignment="1">
      <alignment horizontal="left"/>
    </xf>
    <xf numFmtId="166" fontId="5" fillId="0" borderId="0" xfId="3" applyFont="1" applyFill="1" applyAlignment="1">
      <alignment horizontal="left"/>
    </xf>
    <xf numFmtId="0" fontId="76" fillId="5" borderId="0" xfId="0" applyFont="1" applyFill="1"/>
    <xf numFmtId="0" fontId="14" fillId="5" borderId="0" xfId="0" applyFont="1" applyFill="1"/>
    <xf numFmtId="0" fontId="78" fillId="15" borderId="2" xfId="0" applyFont="1" applyFill="1" applyBorder="1" applyAlignment="1">
      <alignment horizontal="center"/>
    </xf>
    <xf numFmtId="166" fontId="78" fillId="15" borderId="73" xfId="3" applyFont="1" applyFill="1" applyBorder="1"/>
    <xf numFmtId="0" fontId="85" fillId="0" borderId="38" xfId="0" applyFont="1" applyBorder="1" applyAlignment="1">
      <alignment horizontal="center" vertical="center" wrapText="1"/>
    </xf>
    <xf numFmtId="44" fontId="27" fillId="0" borderId="0" xfId="0" applyNumberFormat="1" applyFont="1"/>
    <xf numFmtId="164" fontId="25" fillId="6" borderId="11" xfId="3" applyNumberFormat="1" applyFont="1" applyFill="1" applyBorder="1" applyAlignment="1">
      <alignment horizontal="right"/>
    </xf>
    <xf numFmtId="49" fontId="122" fillId="6" borderId="14" xfId="0" applyNumberFormat="1" applyFont="1" applyFill="1" applyBorder="1"/>
    <xf numFmtId="0" fontId="0" fillId="16" borderId="0" xfId="0" applyFill="1"/>
    <xf numFmtId="166" fontId="27" fillId="0" borderId="11" xfId="3" applyFont="1" applyFill="1" applyBorder="1" applyAlignment="1">
      <alignment horizontal="center" vertical="center"/>
    </xf>
    <xf numFmtId="0" fontId="85" fillId="0" borderId="11" xfId="0" applyFont="1" applyBorder="1" applyAlignment="1">
      <alignment horizontal="center" vertical="center" wrapText="1"/>
    </xf>
    <xf numFmtId="49" fontId="16" fillId="2" borderId="0" xfId="0" applyNumberFormat="1" applyFont="1" applyFill="1" applyAlignment="1">
      <alignment horizontal="left" vertical="center"/>
    </xf>
    <xf numFmtId="0" fontId="85" fillId="0" borderId="28" xfId="0" applyFont="1" applyBorder="1" applyAlignment="1">
      <alignment horizontal="center" vertical="center" wrapText="1"/>
    </xf>
    <xf numFmtId="0" fontId="115" fillId="4" borderId="0" xfId="6" applyFont="1" applyFill="1" applyAlignment="1"/>
    <xf numFmtId="0" fontId="127" fillId="0" borderId="0" xfId="0" applyFont="1"/>
    <xf numFmtId="0" fontId="78" fillId="0" borderId="172" xfId="0" applyFont="1" applyBorder="1" applyAlignment="1">
      <alignment vertical="center" wrapText="1"/>
    </xf>
    <xf numFmtId="0" fontId="127" fillId="0" borderId="179" xfId="0" applyFont="1" applyBorder="1"/>
    <xf numFmtId="0" fontId="130" fillId="19" borderId="174" xfId="0" applyFont="1" applyFill="1" applyBorder="1" applyAlignment="1">
      <alignment horizontal="center" vertical="center" wrapText="1"/>
    </xf>
    <xf numFmtId="0" fontId="130" fillId="19" borderId="174" xfId="0" applyFont="1" applyFill="1" applyBorder="1" applyAlignment="1">
      <alignment horizontal="center" vertical="center"/>
    </xf>
    <xf numFmtId="0" fontId="131" fillId="19" borderId="0" xfId="0" applyFont="1" applyFill="1"/>
    <xf numFmtId="0" fontId="78" fillId="6" borderId="4" xfId="0" applyFont="1" applyFill="1" applyBorder="1" applyAlignment="1">
      <alignment horizontal="center"/>
    </xf>
    <xf numFmtId="169" fontId="78" fillId="6" borderId="73" xfId="0" applyNumberFormat="1" applyFont="1" applyFill="1" applyBorder="1"/>
    <xf numFmtId="0" fontId="78" fillId="6" borderId="2" xfId="0" quotePrefix="1" applyFont="1" applyFill="1" applyBorder="1" applyAlignment="1">
      <alignment horizontal="center"/>
    </xf>
    <xf numFmtId="0" fontId="97" fillId="6" borderId="2" xfId="0" quotePrefix="1" applyFont="1" applyFill="1" applyBorder="1" applyAlignment="1">
      <alignment horizontal="center"/>
    </xf>
    <xf numFmtId="169" fontId="78" fillId="6" borderId="23" xfId="0" applyNumberFormat="1" applyFont="1" applyFill="1" applyBorder="1"/>
    <xf numFmtId="0" fontId="78" fillId="6" borderId="2" xfId="0" applyFont="1" applyFill="1" applyBorder="1" applyAlignment="1">
      <alignment horizontal="center"/>
    </xf>
    <xf numFmtId="0" fontId="80" fillId="6" borderId="4" xfId="0" applyFont="1" applyFill="1" applyBorder="1" applyAlignment="1">
      <alignment horizontal="center" vertical="center"/>
    </xf>
    <xf numFmtId="168" fontId="135" fillId="6" borderId="56" xfId="0" applyNumberFormat="1" applyFont="1" applyFill="1" applyBorder="1"/>
    <xf numFmtId="169" fontId="78" fillId="6" borderId="11" xfId="0" applyNumberFormat="1" applyFont="1" applyFill="1" applyBorder="1"/>
    <xf numFmtId="0" fontId="97" fillId="0" borderId="0" xfId="0" quotePrefix="1" applyFont="1"/>
    <xf numFmtId="49" fontId="138" fillId="19" borderId="181" xfId="0" applyNumberFormat="1" applyFont="1" applyFill="1" applyBorder="1" applyAlignment="1">
      <alignment horizontal="center" textRotation="90"/>
    </xf>
    <xf numFmtId="49" fontId="138" fillId="19" borderId="181" xfId="0" quotePrefix="1" applyNumberFormat="1" applyFont="1" applyFill="1" applyBorder="1" applyAlignment="1">
      <alignment horizontal="center" textRotation="90"/>
    </xf>
    <xf numFmtId="49" fontId="138" fillId="19" borderId="181" xfId="0" quotePrefix="1" applyNumberFormat="1" applyFont="1" applyFill="1" applyBorder="1" applyAlignment="1">
      <alignment horizontal="center" textRotation="90" wrapText="1"/>
    </xf>
    <xf numFmtId="0" fontId="138" fillId="19" borderId="181" xfId="0" applyFont="1" applyFill="1" applyBorder="1" applyAlignment="1">
      <alignment horizontal="left" textRotation="90"/>
    </xf>
    <xf numFmtId="0" fontId="13" fillId="4" borderId="11" xfId="0" applyFont="1" applyFill="1" applyBorder="1" applyAlignment="1">
      <alignment horizontal="center"/>
    </xf>
    <xf numFmtId="49" fontId="13" fillId="4" borderId="11" xfId="0" applyNumberFormat="1" applyFont="1" applyFill="1" applyBorder="1" applyAlignment="1">
      <alignment horizontal="center"/>
    </xf>
    <xf numFmtId="0" fontId="14" fillId="4" borderId="11" xfId="0" applyFont="1" applyFill="1" applyBorder="1" applyAlignment="1">
      <alignment horizontal="left"/>
    </xf>
    <xf numFmtId="0" fontId="10" fillId="4" borderId="11" xfId="0" applyFont="1" applyFill="1" applyBorder="1"/>
    <xf numFmtId="49" fontId="45" fillId="4" borderId="0" xfId="3" applyNumberFormat="1" applyFont="1" applyFill="1"/>
    <xf numFmtId="166" fontId="0" fillId="4" borderId="0" xfId="3" applyFont="1" applyFill="1"/>
    <xf numFmtId="166" fontId="25" fillId="6" borderId="14" xfId="3" applyFont="1" applyFill="1" applyBorder="1"/>
    <xf numFmtId="0" fontId="108" fillId="0" borderId="11" xfId="0" applyFont="1" applyBorder="1"/>
    <xf numFmtId="168" fontId="140" fillId="6" borderId="11" xfId="1" applyNumberFormat="1" applyFont="1" applyFill="1" applyBorder="1" applyAlignment="1">
      <alignment horizontal="left"/>
    </xf>
    <xf numFmtId="164" fontId="98" fillId="6" borderId="43" xfId="3" applyNumberFormat="1" applyFont="1" applyFill="1" applyBorder="1" applyAlignment="1">
      <alignment horizontal="right" vertical="center"/>
    </xf>
    <xf numFmtId="170" fontId="59" fillId="0" borderId="0" xfId="0" applyNumberFormat="1" applyFont="1" applyAlignment="1">
      <alignment horizontal="center"/>
    </xf>
    <xf numFmtId="44" fontId="3" fillId="0" borderId="0" xfId="0" applyNumberFormat="1" applyFont="1"/>
    <xf numFmtId="0" fontId="3" fillId="0" borderId="0" xfId="0" applyFont="1" applyAlignment="1">
      <alignment wrapText="1"/>
    </xf>
    <xf numFmtId="0" fontId="3" fillId="9" borderId="0" xfId="0" applyFont="1" applyFill="1"/>
    <xf numFmtId="0" fontId="3" fillId="0" borderId="0" xfId="0" applyFont="1" applyAlignment="1">
      <alignment horizontal="justify" vertical="distributed"/>
    </xf>
    <xf numFmtId="0" fontId="3" fillId="0" borderId="28" xfId="0" applyFont="1" applyBorder="1" applyAlignment="1">
      <alignment horizontal="center" vertical="distributed"/>
    </xf>
    <xf numFmtId="0" fontId="3" fillId="0" borderId="11" xfId="0" applyFont="1" applyBorder="1" applyAlignment="1">
      <alignment horizontal="center" vertical="distributed"/>
    </xf>
    <xf numFmtId="0" fontId="3" fillId="0" borderId="38" xfId="0" applyFont="1" applyBorder="1" applyAlignment="1">
      <alignment horizontal="justify" vertical="distributed"/>
    </xf>
    <xf numFmtId="0" fontId="3" fillId="0" borderId="0" xfId="0" applyFont="1" applyAlignment="1">
      <alignment horizontal="justify" vertical="distributed" wrapText="1"/>
    </xf>
    <xf numFmtId="0" fontId="36" fillId="0" borderId="0" xfId="0" applyFont="1" applyAlignment="1">
      <alignment horizontal="justify" vertical="distributed" wrapText="1"/>
    </xf>
    <xf numFmtId="0" fontId="3" fillId="0" borderId="1" xfId="0" quotePrefix="1" applyFont="1" applyBorder="1" applyAlignment="1">
      <alignment horizontal="left"/>
    </xf>
    <xf numFmtId="0" fontId="3" fillId="0" borderId="0" xfId="0" quotePrefix="1" applyFont="1" applyAlignment="1">
      <alignment horizontal="left"/>
    </xf>
    <xf numFmtId="0" fontId="20" fillId="0" borderId="1" xfId="0" applyFont="1" applyBorder="1"/>
    <xf numFmtId="0" fontId="20" fillId="0" borderId="1" xfId="0" applyFont="1" applyBorder="1" applyAlignment="1">
      <alignment horizontal="left"/>
    </xf>
    <xf numFmtId="0" fontId="20" fillId="0" borderId="1" xfId="0" quotePrefix="1" applyFont="1" applyBorder="1"/>
    <xf numFmtId="0" fontId="20" fillId="0" borderId="0" xfId="0" quotePrefix="1" applyFont="1"/>
    <xf numFmtId="0" fontId="20" fillId="0" borderId="1" xfId="0" quotePrefix="1" applyFont="1" applyBorder="1" applyAlignment="1">
      <alignment horizontal="left"/>
    </xf>
    <xf numFmtId="49" fontId="130" fillId="19" borderId="174" xfId="0" applyNumberFormat="1" applyFont="1" applyFill="1" applyBorder="1" applyAlignment="1">
      <alignment horizontal="center"/>
    </xf>
    <xf numFmtId="0" fontId="132" fillId="19" borderId="174" xfId="0" applyFont="1" applyFill="1" applyBorder="1" applyAlignment="1">
      <alignment horizontal="center"/>
    </xf>
    <xf numFmtId="0" fontId="130" fillId="19" borderId="174" xfId="0" applyFont="1" applyFill="1" applyBorder="1" applyAlignment="1">
      <alignment horizontal="center"/>
    </xf>
    <xf numFmtId="4" fontId="20" fillId="6" borderId="11" xfId="0" applyNumberFormat="1" applyFont="1" applyFill="1" applyBorder="1" applyAlignment="1">
      <alignment horizontal="right" vertical="center"/>
    </xf>
    <xf numFmtId="168" fontId="108" fillId="6" borderId="11" xfId="0" applyNumberFormat="1" applyFont="1" applyFill="1" applyBorder="1"/>
    <xf numFmtId="0" fontId="14" fillId="0" borderId="28" xfId="0" applyFont="1" applyBorder="1" applyAlignment="1">
      <alignment horizontal="center"/>
    </xf>
    <xf numFmtId="0" fontId="3" fillId="0" borderId="28" xfId="0" applyFont="1" applyBorder="1" applyAlignment="1">
      <alignment horizontal="justify" vertical="center" wrapText="1"/>
    </xf>
    <xf numFmtId="170" fontId="14" fillId="0" borderId="28" xfId="0" applyNumberFormat="1" applyFont="1" applyBorder="1"/>
    <xf numFmtId="170" fontId="20" fillId="0" borderId="28" xfId="0" applyNumberFormat="1" applyFont="1" applyBorder="1"/>
    <xf numFmtId="0" fontId="20" fillId="6" borderId="30" xfId="0" applyFont="1" applyFill="1" applyBorder="1"/>
    <xf numFmtId="0" fontId="20" fillId="6" borderId="54" xfId="0" applyFont="1" applyFill="1" applyBorder="1" applyAlignment="1">
      <alignment horizontal="left"/>
    </xf>
    <xf numFmtId="49" fontId="20" fillId="6" borderId="11" xfId="0" applyNumberFormat="1" applyFont="1" applyFill="1" applyBorder="1" applyAlignment="1">
      <alignment horizontal="left"/>
    </xf>
    <xf numFmtId="170" fontId="20" fillId="6" borderId="11" xfId="2" applyNumberFormat="1" applyFont="1" applyFill="1" applyBorder="1" applyAlignment="1">
      <alignment horizontal="center"/>
    </xf>
    <xf numFmtId="0" fontId="20" fillId="6" borderId="52" xfId="0" applyFont="1" applyFill="1" applyBorder="1"/>
    <xf numFmtId="0" fontId="14" fillId="0" borderId="28" xfId="0" applyFont="1" applyBorder="1"/>
    <xf numFmtId="166" fontId="14" fillId="0" borderId="28" xfId="3" applyFont="1" applyFill="1" applyBorder="1"/>
    <xf numFmtId="166" fontId="14" fillId="0" borderId="28" xfId="3" applyFont="1" applyFill="1" applyBorder="1" applyAlignment="1"/>
    <xf numFmtId="173" fontId="20" fillId="0" borderId="58" xfId="0" applyNumberFormat="1" applyFont="1" applyBorder="1"/>
    <xf numFmtId="0" fontId="14" fillId="6" borderId="11" xfId="0" applyFont="1" applyFill="1" applyBorder="1"/>
    <xf numFmtId="166" fontId="20" fillId="6" borderId="11" xfId="0" applyNumberFormat="1" applyFont="1" applyFill="1" applyBorder="1"/>
    <xf numFmtId="49" fontId="14" fillId="0" borderId="28" xfId="1" applyNumberFormat="1" applyFont="1" applyFill="1" applyBorder="1" applyAlignment="1">
      <alignment horizontal="center"/>
    </xf>
    <xf numFmtId="4" fontId="23" fillId="0" borderId="28" xfId="1" applyNumberFormat="1" applyFont="1" applyFill="1" applyBorder="1"/>
    <xf numFmtId="164" fontId="27" fillId="0" borderId="28" xfId="3" applyNumberFormat="1" applyFont="1" applyFill="1" applyBorder="1" applyAlignment="1">
      <alignment horizontal="right"/>
    </xf>
    <xf numFmtId="0" fontId="154" fillId="19" borderId="174" xfId="0" applyFont="1" applyFill="1" applyBorder="1" applyAlignment="1">
      <alignment horizontal="left" vertical="center" textRotation="90" wrapText="1" readingOrder="1"/>
    </xf>
    <xf numFmtId="0" fontId="154" fillId="19" borderId="174" xfId="0" quotePrefix="1" applyFont="1" applyFill="1" applyBorder="1" applyAlignment="1">
      <alignment horizontal="left" vertical="center" textRotation="90" wrapText="1" readingOrder="1"/>
    </xf>
    <xf numFmtId="49" fontId="154" fillId="19" borderId="174" xfId="0" quotePrefix="1" applyNumberFormat="1" applyFont="1" applyFill="1" applyBorder="1" applyAlignment="1">
      <alignment horizontal="left" vertical="center" textRotation="90" wrapText="1" readingOrder="1"/>
    </xf>
    <xf numFmtId="0" fontId="4" fillId="0" borderId="28" xfId="0" applyFont="1" applyBorder="1" applyAlignment="1">
      <alignment horizontal="center"/>
    </xf>
    <xf numFmtId="164" fontId="4" fillId="0" borderId="28" xfId="0" applyNumberFormat="1" applyFont="1" applyBorder="1"/>
    <xf numFmtId="0" fontId="144" fillId="19" borderId="174" xfId="0" applyFont="1" applyFill="1" applyBorder="1" applyAlignment="1">
      <alignment horizontal="center" vertical="center" wrapText="1"/>
    </xf>
    <xf numFmtId="0" fontId="144" fillId="19" borderId="174" xfId="0" quotePrefix="1" applyFont="1" applyFill="1" applyBorder="1" applyAlignment="1">
      <alignment horizontal="center" vertical="center" wrapText="1"/>
    </xf>
    <xf numFmtId="0" fontId="5" fillId="6" borderId="43" xfId="0" applyFont="1" applyFill="1" applyBorder="1" applyAlignment="1">
      <alignment horizontal="center"/>
    </xf>
    <xf numFmtId="164" fontId="5" fillId="6" borderId="43" xfId="0" applyNumberFormat="1" applyFont="1" applyFill="1" applyBorder="1"/>
    <xf numFmtId="49" fontId="28" fillId="4" borderId="44" xfId="1" applyNumberFormat="1" applyFont="1" applyFill="1" applyBorder="1" applyAlignment="1">
      <alignment horizontal="left"/>
    </xf>
    <xf numFmtId="4" fontId="28" fillId="4" borderId="28" xfId="1" applyNumberFormat="1" applyFont="1" applyFill="1" applyBorder="1"/>
    <xf numFmtId="164" fontId="28" fillId="4" borderId="28" xfId="1" applyNumberFormat="1" applyFont="1" applyFill="1" applyBorder="1"/>
    <xf numFmtId="164" fontId="39" fillId="4" borderId="48" xfId="1" applyNumberFormat="1" applyFont="1" applyFill="1" applyBorder="1"/>
    <xf numFmtId="164" fontId="39" fillId="6" borderId="8" xfId="0" applyNumberFormat="1" applyFont="1" applyFill="1" applyBorder="1"/>
    <xf numFmtId="164" fontId="39" fillId="6" borderId="9" xfId="1" applyNumberFormat="1" applyFont="1" applyFill="1" applyBorder="1"/>
    <xf numFmtId="164" fontId="39" fillId="6" borderId="7" xfId="0" applyNumberFormat="1" applyFont="1" applyFill="1" applyBorder="1"/>
    <xf numFmtId="164" fontId="39" fillId="6" borderId="15" xfId="1" applyNumberFormat="1" applyFont="1" applyFill="1" applyBorder="1"/>
    <xf numFmtId="0" fontId="0" fillId="0" borderId="0" xfId="0" applyAlignment="1">
      <alignment vertical="center"/>
    </xf>
    <xf numFmtId="49" fontId="27" fillId="2" borderId="44" xfId="0" applyNumberFormat="1" applyFont="1" applyFill="1" applyBorder="1" applyAlignment="1">
      <alignment horizontal="center" vertical="center"/>
    </xf>
    <xf numFmtId="49" fontId="27" fillId="2" borderId="28" xfId="0" applyNumberFormat="1" applyFont="1" applyFill="1" applyBorder="1" applyAlignment="1">
      <alignment horizontal="center" vertical="center"/>
    </xf>
    <xf numFmtId="49" fontId="3" fillId="2" borderId="44" xfId="0" applyNumberFormat="1" applyFont="1" applyFill="1" applyBorder="1" applyAlignment="1">
      <alignment horizontal="center" vertical="center"/>
    </xf>
    <xf numFmtId="49" fontId="3" fillId="2" borderId="28" xfId="0" applyNumberFormat="1" applyFont="1" applyFill="1" applyBorder="1" applyAlignment="1">
      <alignment horizontal="center" vertical="center"/>
    </xf>
    <xf numFmtId="164" fontId="86" fillId="0" borderId="11" xfId="3" applyNumberFormat="1" applyFont="1" applyFill="1" applyBorder="1" applyAlignment="1">
      <alignment horizontal="center" vertical="center"/>
    </xf>
    <xf numFmtId="0" fontId="4" fillId="0" borderId="0" xfId="0" applyFont="1" applyAlignment="1">
      <alignment horizontal="center" vertical="center"/>
    </xf>
    <xf numFmtId="49" fontId="27" fillId="4" borderId="44" xfId="0" applyNumberFormat="1" applyFont="1" applyFill="1" applyBorder="1" applyAlignment="1">
      <alignment horizontal="center"/>
    </xf>
    <xf numFmtId="49" fontId="27" fillId="4" borderId="28" xfId="0" applyNumberFormat="1" applyFont="1" applyFill="1" applyBorder="1" applyAlignment="1">
      <alignment horizontal="center"/>
    </xf>
    <xf numFmtId="49" fontId="3" fillId="2" borderId="11" xfId="0" applyNumberFormat="1" applyFont="1" applyFill="1" applyBorder="1" applyAlignment="1">
      <alignment horizontal="center" vertical="center"/>
    </xf>
    <xf numFmtId="164" fontId="28" fillId="4" borderId="28" xfId="1" applyNumberFormat="1" applyFont="1" applyFill="1" applyBorder="1" applyAlignment="1">
      <alignment horizontal="right"/>
    </xf>
    <xf numFmtId="164" fontId="28" fillId="4" borderId="53" xfId="1" applyNumberFormat="1" applyFont="1" applyFill="1" applyBorder="1" applyAlignment="1">
      <alignment horizontal="right"/>
    </xf>
    <xf numFmtId="4" fontId="53" fillId="0" borderId="28" xfId="0" applyNumberFormat="1" applyFont="1" applyBorder="1"/>
    <xf numFmtId="169" fontId="53" fillId="0" borderId="11" xfId="0" applyNumberFormat="1" applyFont="1" applyBorder="1"/>
    <xf numFmtId="0" fontId="108" fillId="6" borderId="11" xfId="0" applyFont="1" applyFill="1" applyBorder="1"/>
    <xf numFmtId="49" fontId="94" fillId="0" borderId="0" xfId="0" applyNumberFormat="1" applyFont="1" applyAlignment="1">
      <alignment horizontal="center"/>
    </xf>
    <xf numFmtId="0" fontId="94" fillId="0" borderId="0" xfId="0" applyFont="1"/>
    <xf numFmtId="0" fontId="162" fillId="0" borderId="0" xfId="0" applyFont="1"/>
    <xf numFmtId="49" fontId="162" fillId="0" borderId="0" xfId="0" applyNumberFormat="1" applyFont="1" applyAlignment="1">
      <alignment horizontal="center"/>
    </xf>
    <xf numFmtId="170" fontId="107" fillId="0" borderId="0" xfId="0" applyNumberFormat="1" applyFont="1" applyAlignment="1">
      <alignment horizontal="center"/>
    </xf>
    <xf numFmtId="4" fontId="94" fillId="0" borderId="0" xfId="0" applyNumberFormat="1" applyFont="1"/>
    <xf numFmtId="165" fontId="94" fillId="0" borderId="0" xfId="2" applyFont="1" applyFill="1" applyBorder="1" applyAlignment="1">
      <alignment horizontal="center"/>
    </xf>
    <xf numFmtId="4" fontId="164" fillId="0" borderId="0" xfId="0" applyNumberFormat="1" applyFont="1"/>
    <xf numFmtId="49" fontId="94" fillId="0" borderId="145" xfId="0" applyNumberFormat="1" applyFont="1" applyBorder="1" applyAlignment="1">
      <alignment horizontal="center"/>
    </xf>
    <xf numFmtId="49" fontId="94" fillId="0" borderId="145" xfId="0" applyNumberFormat="1" applyFont="1" applyBorder="1" applyAlignment="1">
      <alignment horizontal="left"/>
    </xf>
    <xf numFmtId="0" fontId="160" fillId="19" borderId="181" xfId="0" applyFont="1" applyFill="1" applyBorder="1" applyAlignment="1">
      <alignment horizontal="center" vertical="center" wrapText="1"/>
    </xf>
    <xf numFmtId="170" fontId="94" fillId="0" borderId="145" xfId="0" applyNumberFormat="1" applyFont="1" applyBorder="1"/>
    <xf numFmtId="170" fontId="114" fillId="0" borderId="145" xfId="0" applyNumberFormat="1" applyFont="1" applyBorder="1"/>
    <xf numFmtId="0" fontId="26" fillId="0" borderId="145" xfId="0" applyFont="1" applyBorder="1"/>
    <xf numFmtId="0" fontId="94" fillId="0" borderId="145" xfId="0" applyFont="1" applyBorder="1"/>
    <xf numFmtId="0" fontId="51" fillId="0" borderId="145" xfId="0" applyFont="1" applyBorder="1"/>
    <xf numFmtId="170" fontId="114" fillId="0" borderId="145" xfId="2" applyNumberFormat="1" applyFont="1" applyFill="1" applyBorder="1" applyAlignment="1">
      <alignment horizontal="center"/>
    </xf>
    <xf numFmtId="0" fontId="114" fillId="0" borderId="145" xfId="0" applyFont="1" applyBorder="1"/>
    <xf numFmtId="49" fontId="114" fillId="0" borderId="145" xfId="0" applyNumberFormat="1" applyFont="1" applyBorder="1" applyAlignment="1">
      <alignment horizontal="left"/>
    </xf>
    <xf numFmtId="0" fontId="114" fillId="0" borderId="145" xfId="0" applyFont="1" applyBorder="1" applyAlignment="1">
      <alignment wrapText="1"/>
    </xf>
    <xf numFmtId="49" fontId="107" fillId="5" borderId="145" xfId="0" applyNumberFormat="1" applyFont="1" applyFill="1" applyBorder="1" applyAlignment="1">
      <alignment horizontal="left"/>
    </xf>
    <xf numFmtId="165" fontId="107" fillId="5" borderId="145" xfId="2" applyFont="1" applyFill="1" applyBorder="1" applyAlignment="1">
      <alignment horizontal="center"/>
    </xf>
    <xf numFmtId="165" fontId="107" fillId="5" borderId="145" xfId="2" applyFont="1" applyFill="1" applyBorder="1" applyAlignment="1">
      <alignment horizontal="left"/>
    </xf>
    <xf numFmtId="170" fontId="107" fillId="5" borderId="145" xfId="2" applyNumberFormat="1" applyFont="1" applyFill="1" applyBorder="1" applyAlignment="1">
      <alignment horizontal="center"/>
    </xf>
    <xf numFmtId="170" fontId="94" fillId="0" borderId="145" xfId="0" applyNumberFormat="1" applyFont="1" applyBorder="1" applyAlignment="1">
      <alignment horizontal="center"/>
    </xf>
    <xf numFmtId="0" fontId="94" fillId="6" borderId="145" xfId="0" applyFont="1" applyFill="1" applyBorder="1"/>
    <xf numFmtId="49" fontId="94" fillId="6" borderId="145" xfId="0" applyNumberFormat="1" applyFont="1" applyFill="1" applyBorder="1" applyAlignment="1">
      <alignment horizontal="center"/>
    </xf>
    <xf numFmtId="49" fontId="94" fillId="6" borderId="145" xfId="0" applyNumberFormat="1" applyFont="1" applyFill="1" applyBorder="1" applyAlignment="1">
      <alignment horizontal="left"/>
    </xf>
    <xf numFmtId="170" fontId="94" fillId="6" borderId="145" xfId="0" applyNumberFormat="1" applyFont="1" applyFill="1" applyBorder="1" applyAlignment="1">
      <alignment horizontal="center"/>
    </xf>
    <xf numFmtId="0" fontId="51" fillId="6" borderId="145" xfId="0" applyFont="1" applyFill="1" applyBorder="1"/>
    <xf numFmtId="0" fontId="26" fillId="6" borderId="145" xfId="0" applyFont="1" applyFill="1" applyBorder="1"/>
    <xf numFmtId="0" fontId="160" fillId="19" borderId="181" xfId="0" applyFont="1" applyFill="1" applyBorder="1" applyAlignment="1">
      <alignment horizontal="center" vertical="center"/>
    </xf>
    <xf numFmtId="0" fontId="51" fillId="0" borderId="0" xfId="0" applyFont="1" applyAlignment="1">
      <alignment vertical="center"/>
    </xf>
    <xf numFmtId="0" fontId="27" fillId="0" borderId="145" xfId="0" applyFont="1" applyBorder="1"/>
    <xf numFmtId="0" fontId="108" fillId="0" borderId="145" xfId="0" applyFont="1" applyBorder="1"/>
    <xf numFmtId="0" fontId="53" fillId="0" borderId="145" xfId="0" quotePrefix="1" applyFont="1" applyBorder="1" applyAlignment="1">
      <alignment horizontal="left"/>
    </xf>
    <xf numFmtId="49" fontId="53" fillId="0" borderId="145" xfId="0" applyNumberFormat="1" applyFont="1" applyBorder="1" applyAlignment="1">
      <alignment horizontal="center"/>
    </xf>
    <xf numFmtId="49" fontId="53" fillId="0" borderId="145" xfId="0" applyNumberFormat="1" applyFont="1" applyBorder="1" applyAlignment="1">
      <alignment horizontal="left"/>
    </xf>
    <xf numFmtId="170" fontId="53" fillId="0" borderId="145" xfId="2" applyNumberFormat="1" applyFont="1" applyFill="1" applyBorder="1" applyAlignment="1">
      <alignment horizontal="center"/>
    </xf>
    <xf numFmtId="170" fontId="53" fillId="0" borderId="145" xfId="0" applyNumberFormat="1" applyFont="1" applyBorder="1"/>
    <xf numFmtId="170" fontId="59" fillId="0" borderId="145" xfId="0" applyNumberFormat="1" applyFont="1" applyBorder="1"/>
    <xf numFmtId="173" fontId="53" fillId="0" borderId="145" xfId="0" applyNumberFormat="1" applyFont="1" applyBorder="1"/>
    <xf numFmtId="0" fontId="3" fillId="0" borderId="145" xfId="0" applyFont="1" applyBorder="1"/>
    <xf numFmtId="0" fontId="53" fillId="0" borderId="145" xfId="0" applyFont="1" applyBorder="1"/>
    <xf numFmtId="49" fontId="53" fillId="0" borderId="145" xfId="0" quotePrefix="1" applyNumberFormat="1" applyFont="1" applyBorder="1" applyAlignment="1">
      <alignment horizontal="center"/>
    </xf>
    <xf numFmtId="166" fontId="53" fillId="0" borderId="145" xfId="3" applyFont="1" applyBorder="1"/>
    <xf numFmtId="0" fontId="53" fillId="0" borderId="145" xfId="0" quotePrefix="1" applyFont="1" applyBorder="1" applyAlignment="1">
      <alignment horizontal="left" wrapText="1"/>
    </xf>
    <xf numFmtId="0" fontId="53" fillId="17" borderId="145" xfId="0" applyFont="1" applyFill="1" applyBorder="1"/>
    <xf numFmtId="0" fontId="102" fillId="17" borderId="145" xfId="0" applyFont="1" applyFill="1" applyBorder="1"/>
    <xf numFmtId="49" fontId="102" fillId="17" borderId="145" xfId="0" applyNumberFormat="1" applyFont="1" applyFill="1" applyBorder="1" applyAlignment="1">
      <alignment horizontal="center"/>
    </xf>
    <xf numFmtId="165" fontId="102" fillId="17" borderId="145" xfId="2" applyFont="1" applyFill="1" applyBorder="1" applyAlignment="1">
      <alignment horizontal="center"/>
    </xf>
    <xf numFmtId="165" fontId="102" fillId="17" borderId="145" xfId="2" applyFont="1" applyFill="1" applyBorder="1" applyAlignment="1">
      <alignment horizontal="left"/>
    </xf>
    <xf numFmtId="170" fontId="102" fillId="17" borderId="145" xfId="2" applyNumberFormat="1" applyFont="1" applyFill="1" applyBorder="1" applyAlignment="1">
      <alignment horizontal="center"/>
    </xf>
    <xf numFmtId="0" fontId="3" fillId="17" borderId="145" xfId="0" applyFont="1" applyFill="1" applyBorder="1"/>
    <xf numFmtId="0" fontId="53" fillId="0" borderId="145" xfId="0" applyFont="1" applyBorder="1" applyAlignment="1">
      <alignment wrapText="1"/>
    </xf>
    <xf numFmtId="170" fontId="165" fillId="0" borderId="145" xfId="2" applyNumberFormat="1" applyFont="1" applyFill="1" applyBorder="1" applyAlignment="1">
      <alignment horizontal="center"/>
    </xf>
    <xf numFmtId="0" fontId="53" fillId="0" borderId="145" xfId="0" applyFont="1" applyBorder="1" applyAlignment="1">
      <alignment vertical="center"/>
    </xf>
    <xf numFmtId="0" fontId="53" fillId="0" borderId="145" xfId="0" applyFont="1" applyBorder="1" applyAlignment="1">
      <alignment vertical="center" wrapText="1"/>
    </xf>
    <xf numFmtId="49" fontId="53" fillId="0" borderId="145" xfId="0" applyNumberFormat="1" applyFont="1" applyBorder="1" applyAlignment="1">
      <alignment horizontal="center" vertical="center"/>
    </xf>
    <xf numFmtId="49" fontId="53" fillId="0" borderId="145" xfId="0" applyNumberFormat="1" applyFont="1" applyBorder="1" applyAlignment="1">
      <alignment horizontal="left" vertical="center"/>
    </xf>
    <xf numFmtId="170" fontId="165" fillId="0" borderId="145" xfId="2" applyNumberFormat="1" applyFont="1" applyFill="1" applyBorder="1" applyAlignment="1">
      <alignment horizontal="center" vertical="center"/>
    </xf>
    <xf numFmtId="170" fontId="53" fillId="0" borderId="145" xfId="0" applyNumberFormat="1" applyFont="1" applyBorder="1" applyAlignment="1">
      <alignment vertical="center"/>
    </xf>
    <xf numFmtId="170" fontId="59" fillId="0" borderId="145" xfId="0" applyNumberFormat="1" applyFont="1" applyBorder="1" applyAlignment="1">
      <alignment vertical="center"/>
    </xf>
    <xf numFmtId="0" fontId="3" fillId="0" borderId="145" xfId="0" applyFont="1" applyBorder="1" applyAlignment="1">
      <alignment vertical="center"/>
    </xf>
    <xf numFmtId="0" fontId="53" fillId="0" borderId="145" xfId="0" applyFont="1" applyBorder="1" applyAlignment="1">
      <alignment horizontal="left" wrapText="1"/>
    </xf>
    <xf numFmtId="49" fontId="102" fillId="17" borderId="145" xfId="0" applyNumberFormat="1" applyFont="1" applyFill="1" applyBorder="1" applyAlignment="1">
      <alignment horizontal="left"/>
    </xf>
    <xf numFmtId="170" fontId="73" fillId="0" borderId="145" xfId="2" applyNumberFormat="1" applyFont="1" applyFill="1" applyBorder="1" applyAlignment="1">
      <alignment horizontal="center"/>
    </xf>
    <xf numFmtId="0" fontId="108" fillId="3" borderId="145" xfId="0" applyFont="1" applyFill="1" applyBorder="1"/>
    <xf numFmtId="49" fontId="106" fillId="3" borderId="145" xfId="0" applyNumberFormat="1" applyFont="1" applyFill="1" applyBorder="1" applyAlignment="1">
      <alignment horizontal="left"/>
    </xf>
    <xf numFmtId="165" fontId="106" fillId="3" borderId="145" xfId="2" applyFont="1" applyFill="1" applyBorder="1" applyAlignment="1">
      <alignment horizontal="center"/>
    </xf>
    <xf numFmtId="165" fontId="106" fillId="3" borderId="145" xfId="2" applyFont="1" applyFill="1" applyBorder="1" applyAlignment="1">
      <alignment horizontal="left"/>
    </xf>
    <xf numFmtId="170" fontId="106" fillId="3" borderId="145" xfId="2" applyNumberFormat="1" applyFont="1" applyFill="1" applyBorder="1" applyAlignment="1">
      <alignment horizontal="center"/>
    </xf>
    <xf numFmtId="0" fontId="27" fillId="3" borderId="145" xfId="0" applyFont="1" applyFill="1" applyBorder="1"/>
    <xf numFmtId="0" fontId="73" fillId="0" borderId="145" xfId="0" applyFont="1" applyBorder="1"/>
    <xf numFmtId="49" fontId="73" fillId="0" borderId="145" xfId="0" applyNumberFormat="1" applyFont="1" applyBorder="1" applyAlignment="1">
      <alignment horizontal="left"/>
    </xf>
    <xf numFmtId="170" fontId="53" fillId="0" borderId="145" xfId="0" applyNumberFormat="1" applyFont="1" applyBorder="1" applyAlignment="1">
      <alignment horizontal="center"/>
    </xf>
    <xf numFmtId="165" fontId="59" fillId="0" borderId="145" xfId="2" applyFont="1" applyFill="1" applyBorder="1" applyAlignment="1">
      <alignment horizontal="left"/>
    </xf>
    <xf numFmtId="170" fontId="59" fillId="0" borderId="145" xfId="2" applyNumberFormat="1" applyFont="1" applyFill="1" applyBorder="1" applyAlignment="1">
      <alignment horizontal="center"/>
    </xf>
    <xf numFmtId="0" fontId="53" fillId="0" borderId="145" xfId="0" applyFont="1" applyBorder="1" applyAlignment="1">
      <alignment horizontal="center" vertical="center"/>
    </xf>
    <xf numFmtId="0" fontId="53" fillId="17" borderId="145" xfId="0" applyFont="1" applyFill="1" applyBorder="1" applyAlignment="1">
      <alignment horizontal="center" vertical="center"/>
    </xf>
    <xf numFmtId="0" fontId="73" fillId="0" borderId="145" xfId="0" applyFont="1" applyBorder="1" applyAlignment="1">
      <alignment horizontal="center" vertical="center"/>
    </xf>
    <xf numFmtId="0" fontId="114" fillId="0" borderId="145" xfId="0" applyFont="1" applyBorder="1" applyAlignment="1">
      <alignment horizontal="center" vertical="center"/>
    </xf>
    <xf numFmtId="0" fontId="94" fillId="0" borderId="145" xfId="0" applyFont="1" applyBorder="1" applyAlignment="1">
      <alignment horizontal="center" vertical="center"/>
    </xf>
    <xf numFmtId="0" fontId="94" fillId="6" borderId="145" xfId="0" applyFont="1" applyFill="1" applyBorder="1" applyAlignment="1">
      <alignment horizontal="center" vertical="center"/>
    </xf>
    <xf numFmtId="0" fontId="94" fillId="0" borderId="0" xfId="0" applyFont="1" applyAlignment="1">
      <alignment horizontal="center" vertical="center"/>
    </xf>
    <xf numFmtId="0" fontId="26" fillId="0" borderId="0" xfId="0" applyFont="1" applyAlignment="1">
      <alignment horizontal="center" vertical="center"/>
    </xf>
    <xf numFmtId="0" fontId="60" fillId="17" borderId="145" xfId="0" applyFont="1" applyFill="1" applyBorder="1" applyAlignment="1">
      <alignment horizontal="center" vertical="center"/>
    </xf>
    <xf numFmtId="0" fontId="108" fillId="3" borderId="145" xfId="0" applyFont="1" applyFill="1" applyBorder="1" applyAlignment="1">
      <alignment horizontal="center" vertical="center"/>
    </xf>
    <xf numFmtId="0" fontId="163" fillId="0" borderId="0" xfId="0" applyFont="1" applyAlignment="1">
      <alignment horizontal="center" vertical="center"/>
    </xf>
    <xf numFmtId="0" fontId="0" fillId="0" borderId="0" xfId="0" applyAlignment="1">
      <alignment horizontal="center" vertical="center"/>
    </xf>
    <xf numFmtId="0" fontId="53" fillId="6" borderId="145" xfId="0" applyFont="1" applyFill="1" applyBorder="1" applyAlignment="1">
      <alignment horizontal="center" vertical="center"/>
    </xf>
    <xf numFmtId="0" fontId="53" fillId="6" borderId="145" xfId="0" applyFont="1" applyFill="1" applyBorder="1"/>
    <xf numFmtId="49" fontId="53" fillId="6" borderId="145" xfId="0" applyNumberFormat="1" applyFont="1" applyFill="1" applyBorder="1" applyAlignment="1">
      <alignment horizontal="center"/>
    </xf>
    <xf numFmtId="49" fontId="53" fillId="6" borderId="145" xfId="0" applyNumberFormat="1" applyFont="1" applyFill="1" applyBorder="1" applyAlignment="1">
      <alignment horizontal="left"/>
    </xf>
    <xf numFmtId="170" fontId="53" fillId="6" borderId="145" xfId="0" applyNumberFormat="1" applyFont="1" applyFill="1" applyBorder="1" applyAlignment="1">
      <alignment horizontal="center"/>
    </xf>
    <xf numFmtId="0" fontId="3" fillId="6" borderId="145" xfId="0" applyFont="1" applyFill="1" applyBorder="1"/>
    <xf numFmtId="0" fontId="102" fillId="6" borderId="145" xfId="0" applyFont="1" applyFill="1" applyBorder="1" applyAlignment="1">
      <alignment horizontal="left"/>
    </xf>
    <xf numFmtId="170" fontId="102" fillId="6" borderId="145" xfId="0" applyNumberFormat="1" applyFont="1" applyFill="1" applyBorder="1" applyAlignment="1">
      <alignment horizontal="center"/>
    </xf>
    <xf numFmtId="0" fontId="53" fillId="3" borderId="145" xfId="0" applyFont="1" applyFill="1" applyBorder="1" applyAlignment="1">
      <alignment horizontal="center" vertical="center"/>
    </xf>
    <xf numFmtId="0" fontId="102" fillId="3" borderId="145" xfId="0" applyFont="1" applyFill="1" applyBorder="1" applyAlignment="1">
      <alignment horizontal="center"/>
    </xf>
    <xf numFmtId="0" fontId="53" fillId="3" borderId="145" xfId="0" applyFont="1" applyFill="1" applyBorder="1"/>
    <xf numFmtId="49" fontId="53" fillId="3" borderId="145" xfId="0" applyNumberFormat="1" applyFont="1" applyFill="1" applyBorder="1" applyAlignment="1">
      <alignment horizontal="center"/>
    </xf>
    <xf numFmtId="49" fontId="53" fillId="3" borderId="145" xfId="0" applyNumberFormat="1" applyFont="1" applyFill="1" applyBorder="1" applyAlignment="1">
      <alignment horizontal="left"/>
    </xf>
    <xf numFmtId="170" fontId="53" fillId="3" borderId="145" xfId="0" applyNumberFormat="1" applyFont="1" applyFill="1" applyBorder="1" applyAlignment="1">
      <alignment horizontal="center"/>
    </xf>
    <xf numFmtId="0" fontId="3" fillId="3" borderId="145" xfId="0" applyFont="1" applyFill="1" applyBorder="1"/>
    <xf numFmtId="0" fontId="53" fillId="6" borderId="145" xfId="0" applyFont="1" applyFill="1" applyBorder="1" applyAlignment="1">
      <alignment horizontal="left"/>
    </xf>
    <xf numFmtId="4" fontId="53" fillId="6" borderId="145" xfId="0" applyNumberFormat="1" applyFont="1" applyFill="1" applyBorder="1" applyAlignment="1">
      <alignment horizontal="left"/>
    </xf>
    <xf numFmtId="170" fontId="53" fillId="6" borderId="145" xfId="0" applyNumberFormat="1" applyFont="1" applyFill="1" applyBorder="1"/>
    <xf numFmtId="0" fontId="60" fillId="6" borderId="145" xfId="0" applyFont="1" applyFill="1" applyBorder="1" applyAlignment="1">
      <alignment horizontal="center" vertical="center"/>
    </xf>
    <xf numFmtId="0" fontId="165" fillId="6" borderId="145" xfId="0" applyFont="1" applyFill="1" applyBorder="1"/>
    <xf numFmtId="49" fontId="165" fillId="6" borderId="145" xfId="0" applyNumberFormat="1" applyFont="1" applyFill="1" applyBorder="1" applyAlignment="1">
      <alignment horizontal="center"/>
    </xf>
    <xf numFmtId="170" fontId="59" fillId="6" borderId="145" xfId="0" applyNumberFormat="1" applyFont="1" applyFill="1" applyBorder="1" applyAlignment="1">
      <alignment horizontal="center"/>
    </xf>
    <xf numFmtId="0" fontId="108" fillId="0" borderId="0" xfId="0" applyFont="1" applyAlignment="1">
      <alignment horizontal="center" vertical="center"/>
    </xf>
    <xf numFmtId="4" fontId="108" fillId="0" borderId="0" xfId="0" applyNumberFormat="1" applyFont="1"/>
    <xf numFmtId="0" fontId="141" fillId="19" borderId="174" xfId="0" applyFont="1" applyFill="1" applyBorder="1" applyAlignment="1">
      <alignment vertical="center"/>
    </xf>
    <xf numFmtId="0" fontId="53" fillId="0" borderId="0" xfId="0" applyFont="1" applyAlignment="1">
      <alignment horizontal="center" vertical="center"/>
    </xf>
    <xf numFmtId="0" fontId="59" fillId="0" borderId="0" xfId="0" applyFont="1"/>
    <xf numFmtId="0" fontId="59" fillId="0" borderId="0" xfId="0" quotePrefix="1" applyFont="1" applyAlignment="1">
      <alignment horizontal="center"/>
    </xf>
    <xf numFmtId="0" fontId="59" fillId="0" borderId="0" xfId="0" applyFont="1" applyAlignment="1">
      <alignment horizontal="center"/>
    </xf>
    <xf numFmtId="0" fontId="3" fillId="0" borderId="0" xfId="0" applyFont="1" applyAlignment="1">
      <alignment horizontal="center"/>
    </xf>
    <xf numFmtId="0" fontId="3" fillId="0" borderId="0" xfId="0" applyFont="1" applyAlignment="1">
      <alignment vertical="center"/>
    </xf>
    <xf numFmtId="166" fontId="59" fillId="0" borderId="0" xfId="0" applyNumberFormat="1" applyFont="1" applyAlignment="1">
      <alignment horizontal="center"/>
    </xf>
    <xf numFmtId="4" fontId="59" fillId="0" borderId="0" xfId="0" applyNumberFormat="1" applyFont="1"/>
    <xf numFmtId="0" fontId="155" fillId="19" borderId="174" xfId="0" applyFont="1" applyFill="1" applyBorder="1" applyAlignment="1">
      <alignment vertical="center"/>
    </xf>
    <xf numFmtId="0" fontId="156" fillId="19" borderId="174" xfId="0" quotePrefix="1" applyFont="1" applyFill="1" applyBorder="1" applyAlignment="1">
      <alignment horizontal="center" vertical="center" wrapText="1"/>
    </xf>
    <xf numFmtId="165" fontId="4" fillId="0" borderId="0" xfId="2" applyFont="1" applyFill="1" applyBorder="1" applyAlignment="1">
      <alignment horizontal="center"/>
    </xf>
    <xf numFmtId="0" fontId="3" fillId="0" borderId="0" xfId="0" applyFont="1" applyAlignment="1">
      <alignment horizontal="center" vertical="center"/>
    </xf>
    <xf numFmtId="170" fontId="53" fillId="0" borderId="1" xfId="0" applyNumberFormat="1" applyFont="1" applyBorder="1"/>
    <xf numFmtId="170" fontId="53" fillId="0" borderId="40" xfId="0" applyNumberFormat="1" applyFont="1" applyBorder="1"/>
    <xf numFmtId="170" fontId="155" fillId="19" borderId="174" xfId="0" applyNumberFormat="1" applyFont="1" applyFill="1" applyBorder="1" applyAlignment="1">
      <alignment horizontal="left" wrapText="1"/>
    </xf>
    <xf numFmtId="170" fontId="53" fillId="0" borderId="57" xfId="0" applyNumberFormat="1" applyFont="1" applyBorder="1"/>
    <xf numFmtId="0" fontId="3" fillId="0" borderId="56" xfId="0" applyFont="1" applyBorder="1"/>
    <xf numFmtId="0" fontId="3" fillId="0" borderId="26" xfId="0" applyFont="1" applyBorder="1"/>
    <xf numFmtId="170" fontId="53" fillId="0" borderId="49" xfId="0" applyNumberFormat="1" applyFont="1" applyBorder="1"/>
    <xf numFmtId="4" fontId="59" fillId="0" borderId="38" xfId="0" applyNumberFormat="1" applyFont="1" applyBorder="1"/>
    <xf numFmtId="4" fontId="53" fillId="0" borderId="58" xfId="0" applyNumberFormat="1" applyFont="1" applyBorder="1"/>
    <xf numFmtId="4" fontId="53" fillId="0" borderId="49" xfId="0" applyNumberFormat="1" applyFont="1" applyBorder="1"/>
    <xf numFmtId="170" fontId="53" fillId="0" borderId="17" xfId="0" applyNumberFormat="1" applyFont="1" applyBorder="1"/>
    <xf numFmtId="0" fontId="53" fillId="0" borderId="154" xfId="0" quotePrefix="1" applyFont="1" applyBorder="1" applyAlignment="1">
      <alignment horizontal="left"/>
    </xf>
    <xf numFmtId="0" fontId="59" fillId="0" borderId="84" xfId="0" applyFont="1" applyBorder="1"/>
    <xf numFmtId="170" fontId="59" fillId="0" borderId="61" xfId="0" applyNumberFormat="1" applyFont="1" applyBorder="1"/>
    <xf numFmtId="0" fontId="59" fillId="0" borderId="0" xfId="0" applyFont="1" applyAlignment="1">
      <alignment horizontal="center" vertical="center"/>
    </xf>
    <xf numFmtId="0" fontId="53" fillId="0" borderId="55" xfId="0" quotePrefix="1" applyFont="1" applyBorder="1" applyAlignment="1">
      <alignment horizontal="left"/>
    </xf>
    <xf numFmtId="0" fontId="53" fillId="0" borderId="1" xfId="0" quotePrefix="1" applyFont="1" applyBorder="1" applyAlignment="1">
      <alignment horizontal="left"/>
    </xf>
    <xf numFmtId="0" fontId="59" fillId="0" borderId="1" xfId="0" applyFont="1" applyBorder="1"/>
    <xf numFmtId="0" fontId="59" fillId="0" borderId="110" xfId="0" applyFont="1" applyBorder="1"/>
    <xf numFmtId="170" fontId="59" fillId="0" borderId="49" xfId="0" applyNumberFormat="1" applyFont="1" applyBorder="1"/>
    <xf numFmtId="170" fontId="59" fillId="0" borderId="59" xfId="0" applyNumberFormat="1" applyFont="1" applyBorder="1"/>
    <xf numFmtId="170" fontId="59" fillId="6" borderId="17" xfId="0" applyNumberFormat="1" applyFont="1" applyFill="1" applyBorder="1"/>
    <xf numFmtId="170" fontId="59" fillId="6" borderId="49" xfId="0" applyNumberFormat="1" applyFont="1" applyFill="1" applyBorder="1"/>
    <xf numFmtId="0" fontId="53" fillId="0" borderId="38" xfId="0" quotePrefix="1" applyFont="1" applyBorder="1" applyAlignment="1">
      <alignment horizontal="left"/>
    </xf>
    <xf numFmtId="0" fontId="59" fillId="0" borderId="38" xfId="0" applyFont="1" applyBorder="1"/>
    <xf numFmtId="170" fontId="59" fillId="0" borderId="28" xfId="0" applyNumberFormat="1" applyFont="1" applyBorder="1"/>
    <xf numFmtId="0" fontId="59" fillId="0" borderId="63" xfId="0" applyFont="1" applyBorder="1"/>
    <xf numFmtId="0" fontId="59" fillId="6" borderId="0" xfId="0" applyFont="1" applyFill="1"/>
    <xf numFmtId="170" fontId="59" fillId="6" borderId="43" xfId="0" applyNumberFormat="1" applyFont="1" applyFill="1" applyBorder="1"/>
    <xf numFmtId="0" fontId="59" fillId="0" borderId="50" xfId="0" applyFont="1" applyBorder="1"/>
    <xf numFmtId="0" fontId="53" fillId="0" borderId="38" xfId="0" applyFont="1" applyBorder="1"/>
    <xf numFmtId="0" fontId="53" fillId="0" borderId="58" xfId="0" applyFont="1" applyBorder="1"/>
    <xf numFmtId="0" fontId="59" fillId="0" borderId="49" xfId="0" applyFont="1" applyBorder="1"/>
    <xf numFmtId="0" fontId="155" fillId="19" borderId="174" xfId="0" applyFont="1" applyFill="1" applyBorder="1" applyAlignment="1">
      <alignment vertical="center" wrapText="1"/>
    </xf>
    <xf numFmtId="170" fontId="155" fillId="19" borderId="174" xfId="0" applyNumberFormat="1" applyFont="1" applyFill="1" applyBorder="1" applyAlignment="1">
      <alignment horizontal="center" vertical="center" wrapText="1"/>
    </xf>
    <xf numFmtId="4" fontId="53" fillId="0" borderId="18" xfId="0" applyNumberFormat="1" applyFont="1" applyBorder="1"/>
    <xf numFmtId="4" fontId="59" fillId="0" borderId="84" xfId="0" applyNumberFormat="1" applyFont="1" applyBorder="1"/>
    <xf numFmtId="170" fontId="59" fillId="0" borderId="17" xfId="0" applyNumberFormat="1" applyFont="1" applyBorder="1"/>
    <xf numFmtId="0" fontId="53" fillId="0" borderId="8" xfId="0" quotePrefix="1" applyFont="1" applyBorder="1" applyAlignment="1">
      <alignment horizontal="left"/>
    </xf>
    <xf numFmtId="0" fontId="53" fillId="0" borderId="25" xfId="0" quotePrefix="1" applyFont="1" applyBorder="1" applyAlignment="1">
      <alignment horizontal="left"/>
    </xf>
    <xf numFmtId="165" fontId="59" fillId="0" borderId="25" xfId="2" applyFont="1" applyFill="1" applyBorder="1" applyAlignment="1">
      <alignment horizontal="center"/>
    </xf>
    <xf numFmtId="165" fontId="59" fillId="0" borderId="81" xfId="2" applyFont="1" applyFill="1" applyBorder="1" applyAlignment="1">
      <alignment horizontal="center"/>
    </xf>
    <xf numFmtId="170" fontId="59" fillId="0" borderId="60" xfId="0" applyNumberFormat="1" applyFont="1" applyBorder="1"/>
    <xf numFmtId="4" fontId="53" fillId="0" borderId="25" xfId="0" applyNumberFormat="1" applyFont="1" applyBorder="1"/>
    <xf numFmtId="4" fontId="53" fillId="0" borderId="81" xfId="0" applyNumberFormat="1" applyFont="1" applyBorder="1"/>
    <xf numFmtId="4" fontId="59" fillId="0" borderId="81" xfId="0" applyNumberFormat="1" applyFont="1" applyBorder="1"/>
    <xf numFmtId="170" fontId="53" fillId="0" borderId="28" xfId="0" applyNumberFormat="1" applyFont="1" applyBorder="1"/>
    <xf numFmtId="4" fontId="59" fillId="6" borderId="64" xfId="0" applyNumberFormat="1" applyFont="1" applyFill="1" applyBorder="1"/>
    <xf numFmtId="4" fontId="59" fillId="6" borderId="65" xfId="0" applyNumberFormat="1" applyFont="1" applyFill="1" applyBorder="1"/>
    <xf numFmtId="4" fontId="59" fillId="6" borderId="66" xfId="0" applyNumberFormat="1" applyFont="1" applyFill="1" applyBorder="1"/>
    <xf numFmtId="164" fontId="59" fillId="6" borderId="62" xfId="0" applyNumberFormat="1" applyFont="1" applyFill="1" applyBorder="1"/>
    <xf numFmtId="4" fontId="59" fillId="0" borderId="50" xfId="0" applyNumberFormat="1" applyFont="1" applyBorder="1"/>
    <xf numFmtId="4" fontId="59" fillId="0" borderId="51" xfId="0" applyNumberFormat="1" applyFont="1" applyBorder="1"/>
    <xf numFmtId="0" fontId="158" fillId="19" borderId="174" xfId="0" applyFont="1" applyFill="1" applyBorder="1" applyAlignment="1">
      <alignment horizontal="center" vertical="center"/>
    </xf>
    <xf numFmtId="0" fontId="158" fillId="19" borderId="174" xfId="0" applyFont="1" applyFill="1" applyBorder="1" applyAlignment="1">
      <alignment horizontal="center" vertical="center" wrapText="1"/>
    </xf>
    <xf numFmtId="166" fontId="53" fillId="0" borderId="28" xfId="3" applyFont="1" applyFill="1" applyBorder="1"/>
    <xf numFmtId="166" fontId="53" fillId="0" borderId="28" xfId="3" applyFont="1" applyFill="1" applyBorder="1" applyAlignment="1"/>
    <xf numFmtId="166" fontId="53" fillId="0" borderId="11" xfId="3" applyFont="1" applyFill="1" applyBorder="1"/>
    <xf numFmtId="166" fontId="53" fillId="0" borderId="11" xfId="3" applyFont="1" applyFill="1" applyBorder="1" applyAlignment="1"/>
    <xf numFmtId="170" fontId="53" fillId="0" borderId="52" xfId="0" applyNumberFormat="1" applyFont="1" applyBorder="1" applyAlignment="1">
      <alignment horizontal="center"/>
    </xf>
    <xf numFmtId="170" fontId="53" fillId="0" borderId="54" xfId="0" applyNumberFormat="1" applyFont="1" applyBorder="1" applyAlignment="1">
      <alignment horizontal="center"/>
    </xf>
    <xf numFmtId="166" fontId="53" fillId="0" borderId="52" xfId="3" applyFont="1" applyFill="1" applyBorder="1" applyAlignment="1">
      <alignment horizontal="center"/>
    </xf>
    <xf numFmtId="166" fontId="53" fillId="0" borderId="54" xfId="3" applyFont="1" applyFill="1" applyBorder="1" applyAlignment="1">
      <alignment horizontal="center"/>
    </xf>
    <xf numFmtId="0" fontId="102" fillId="6" borderId="11" xfId="0" applyFont="1" applyFill="1" applyBorder="1" applyAlignment="1">
      <alignment horizontal="center" vertical="center"/>
    </xf>
    <xf numFmtId="166" fontId="102" fillId="6" borderId="11" xfId="0" applyNumberFormat="1" applyFont="1" applyFill="1" applyBorder="1"/>
    <xf numFmtId="166" fontId="102" fillId="6" borderId="11" xfId="3" applyFont="1" applyFill="1" applyBorder="1" applyAlignment="1"/>
    <xf numFmtId="0" fontId="42" fillId="0" borderId="11" xfId="0" applyFont="1" applyBorder="1" applyAlignment="1">
      <alignment horizontal="center"/>
    </xf>
    <xf numFmtId="0" fontId="5" fillId="0" borderId="0" xfId="0" quotePrefix="1" applyFont="1" applyAlignment="1">
      <alignment wrapText="1"/>
    </xf>
    <xf numFmtId="0" fontId="12" fillId="0" borderId="0" xfId="0" applyFont="1"/>
    <xf numFmtId="0" fontId="33" fillId="0" borderId="0" xfId="0" quotePrefix="1" applyFont="1" applyAlignment="1">
      <alignment wrapText="1"/>
    </xf>
    <xf numFmtId="0" fontId="166" fillId="19" borderId="181" xfId="0" applyFont="1" applyFill="1" applyBorder="1" applyAlignment="1">
      <alignment horizontal="center" vertical="center"/>
    </xf>
    <xf numFmtId="0" fontId="130" fillId="19" borderId="181" xfId="0" applyFont="1" applyFill="1" applyBorder="1" applyAlignment="1">
      <alignment horizontal="center" vertical="center"/>
    </xf>
    <xf numFmtId="0" fontId="130" fillId="19" borderId="181" xfId="0" applyFont="1" applyFill="1" applyBorder="1" applyAlignment="1">
      <alignment horizontal="centerContinuous" vertical="center"/>
    </xf>
    <xf numFmtId="0" fontId="130" fillId="19" borderId="181" xfId="0" applyFont="1" applyFill="1" applyBorder="1" applyAlignment="1">
      <alignment horizontal="center" vertical="center" wrapText="1"/>
    </xf>
    <xf numFmtId="0" fontId="130" fillId="19" borderId="181" xfId="0" quotePrefix="1" applyFont="1" applyFill="1" applyBorder="1" applyAlignment="1">
      <alignment horizontal="center" vertical="justify" wrapText="1"/>
    </xf>
    <xf numFmtId="0" fontId="42" fillId="0" borderId="11" xfId="0" applyFont="1" applyBorder="1"/>
    <xf numFmtId="164" fontId="42" fillId="0" borderId="11" xfId="0" applyNumberFormat="1" applyFont="1" applyBorder="1"/>
    <xf numFmtId="168" fontId="42" fillId="0" borderId="11" xfId="0" applyNumberFormat="1" applyFont="1" applyBorder="1"/>
    <xf numFmtId="0" fontId="42" fillId="0" borderId="11" xfId="0" applyFont="1" applyBorder="1" applyAlignment="1">
      <alignment horizontal="left"/>
    </xf>
    <xf numFmtId="0" fontId="26" fillId="0" borderId="11" xfId="0" applyFont="1" applyBorder="1" applyAlignment="1">
      <alignment horizontal="center"/>
    </xf>
    <xf numFmtId="0" fontId="26" fillId="0" borderId="11" xfId="0" applyFont="1" applyBorder="1"/>
    <xf numFmtId="168" fontId="26" fillId="0" borderId="11" xfId="0" applyNumberFormat="1" applyFont="1" applyBorder="1"/>
    <xf numFmtId="164" fontId="26" fillId="0" borderId="11" xfId="0" applyNumberFormat="1" applyFont="1" applyBorder="1"/>
    <xf numFmtId="0" fontId="26" fillId="0" borderId="11" xfId="0" applyFont="1" applyBorder="1" applyAlignment="1">
      <alignment horizontal="left"/>
    </xf>
    <xf numFmtId="0" fontId="26" fillId="0" borderId="11" xfId="0" quotePrefix="1" applyFont="1" applyBorder="1" applyAlignment="1">
      <alignment horizontal="left"/>
    </xf>
    <xf numFmtId="0" fontId="10" fillId="0" borderId="11" xfId="0" applyFont="1" applyBorder="1" applyAlignment="1">
      <alignment horizontal="center"/>
    </xf>
    <xf numFmtId="0" fontId="42" fillId="6" borderId="11" xfId="0" applyFont="1" applyFill="1" applyBorder="1" applyAlignment="1">
      <alignment horizontal="center"/>
    </xf>
    <xf numFmtId="0" fontId="42" fillId="6" borderId="11" xfId="0" applyFont="1" applyFill="1" applyBorder="1"/>
    <xf numFmtId="164" fontId="42" fillId="6" borderId="11" xfId="0" applyNumberFormat="1" applyFont="1" applyFill="1" applyBorder="1"/>
    <xf numFmtId="164" fontId="167" fillId="6" borderId="11" xfId="0" applyNumberFormat="1" applyFont="1" applyFill="1" applyBorder="1"/>
    <xf numFmtId="0" fontId="24" fillId="0" borderId="11" xfId="0" applyFont="1" applyBorder="1" applyAlignment="1">
      <alignment horizontal="center"/>
    </xf>
    <xf numFmtId="168" fontId="42" fillId="6" borderId="11" xfId="0" applyNumberFormat="1" applyFont="1" applyFill="1" applyBorder="1"/>
    <xf numFmtId="0" fontId="26" fillId="6" borderId="11" xfId="0" applyFont="1" applyFill="1" applyBorder="1" applyAlignment="1">
      <alignment horizontal="center"/>
    </xf>
    <xf numFmtId="169" fontId="78" fillId="0" borderId="11" xfId="0" quotePrefix="1" applyNumberFormat="1" applyFont="1" applyBorder="1" applyAlignment="1">
      <alignment horizontal="left" vertical="center"/>
    </xf>
    <xf numFmtId="169" fontId="78" fillId="0" borderId="11" xfId="0" applyNumberFormat="1" applyFont="1" applyBorder="1" applyAlignment="1">
      <alignment vertical="center"/>
    </xf>
    <xf numFmtId="0" fontId="78" fillId="0" borderId="11" xfId="0" applyFont="1" applyBorder="1" applyAlignment="1">
      <alignment vertical="center"/>
    </xf>
    <xf numFmtId="169" fontId="97" fillId="6" borderId="29" xfId="0" applyNumberFormat="1" applyFont="1" applyFill="1" applyBorder="1"/>
    <xf numFmtId="169" fontId="80" fillId="6" borderId="11" xfId="0" applyNumberFormat="1" applyFont="1" applyFill="1" applyBorder="1"/>
    <xf numFmtId="49" fontId="138" fillId="19" borderId="181" xfId="0" applyNumberFormat="1" applyFont="1" applyFill="1" applyBorder="1" applyAlignment="1">
      <alignment horizontal="center" textRotation="90" wrapText="1"/>
    </xf>
    <xf numFmtId="49" fontId="20" fillId="6" borderId="11" xfId="0" applyNumberFormat="1" applyFont="1" applyFill="1" applyBorder="1"/>
    <xf numFmtId="164" fontId="14" fillId="0" borderId="0" xfId="3" applyNumberFormat="1" applyFont="1" applyFill="1" applyBorder="1" applyAlignment="1">
      <alignment horizontal="right"/>
    </xf>
    <xf numFmtId="164" fontId="20" fillId="6" borderId="11" xfId="3" applyNumberFormat="1" applyFont="1" applyFill="1" applyBorder="1" applyAlignment="1">
      <alignment horizontal="right"/>
    </xf>
    <xf numFmtId="164" fontId="111" fillId="6" borderId="11" xfId="3" applyNumberFormat="1" applyFont="1" applyFill="1" applyBorder="1" applyAlignment="1">
      <alignment horizontal="right"/>
    </xf>
    <xf numFmtId="0" fontId="153" fillId="19" borderId="181" xfId="0" applyFont="1" applyFill="1" applyBorder="1" applyAlignment="1">
      <alignment horizontal="left" textRotation="90" wrapText="1"/>
    </xf>
    <xf numFmtId="0" fontId="153" fillId="19" borderId="181" xfId="0" quotePrefix="1" applyFont="1" applyFill="1" applyBorder="1" applyAlignment="1">
      <alignment horizontal="center" textRotation="90" wrapText="1"/>
    </xf>
    <xf numFmtId="0" fontId="153" fillId="19" borderId="181" xfId="0" applyFont="1" applyFill="1" applyBorder="1" applyAlignment="1">
      <alignment horizontal="center" textRotation="90" wrapText="1"/>
    </xf>
    <xf numFmtId="4" fontId="26" fillId="0" borderId="11" xfId="1" applyNumberFormat="1" applyFont="1" applyFill="1" applyBorder="1"/>
    <xf numFmtId="164" fontId="14" fillId="2" borderId="11" xfId="3" applyNumberFormat="1" applyFont="1" applyFill="1" applyBorder="1" applyAlignment="1">
      <alignment horizontal="right"/>
    </xf>
    <xf numFmtId="164" fontId="14" fillId="0" borderId="11" xfId="3" applyNumberFormat="1" applyFont="1" applyFill="1" applyBorder="1" applyAlignment="1">
      <alignment horizontal="right"/>
    </xf>
    <xf numFmtId="164" fontId="3" fillId="0" borderId="11" xfId="3" applyNumberFormat="1" applyFont="1" applyFill="1" applyBorder="1" applyAlignment="1">
      <alignment horizontal="right"/>
    </xf>
    <xf numFmtId="0" fontId="20" fillId="6" borderId="11" xfId="0" applyFont="1" applyFill="1" applyBorder="1"/>
    <xf numFmtId="0" fontId="20" fillId="12" borderId="11" xfId="0" applyFont="1" applyFill="1" applyBorder="1"/>
    <xf numFmtId="0" fontId="42" fillId="12" borderId="11" xfId="0" applyFont="1" applyFill="1" applyBorder="1"/>
    <xf numFmtId="164" fontId="20" fillId="12" borderId="11" xfId="3" applyNumberFormat="1" applyFont="1" applyFill="1" applyBorder="1" applyAlignment="1">
      <alignment horizontal="right"/>
    </xf>
    <xf numFmtId="0" fontId="20" fillId="12" borderId="11" xfId="0" applyFont="1" applyFill="1" applyBorder="1" applyAlignment="1">
      <alignment horizontal="center"/>
    </xf>
    <xf numFmtId="0" fontId="3" fillId="2" borderId="11" xfId="0" applyFont="1" applyFill="1" applyBorder="1" applyAlignment="1">
      <alignment horizontal="left" vertical="center"/>
    </xf>
    <xf numFmtId="0" fontId="3" fillId="0" borderId="0" xfId="0" applyFont="1" applyAlignment="1">
      <alignment horizontal="left" vertical="center"/>
    </xf>
    <xf numFmtId="166" fontId="3" fillId="2" borderId="11" xfId="0" applyNumberFormat="1" applyFont="1" applyFill="1" applyBorder="1" applyAlignment="1">
      <alignment horizontal="left" vertical="center"/>
    </xf>
    <xf numFmtId="166" fontId="20" fillId="2" borderId="11" xfId="3" applyFont="1" applyFill="1" applyBorder="1" applyAlignment="1">
      <alignment horizontal="left" vertical="center"/>
    </xf>
    <xf numFmtId="166" fontId="42" fillId="2" borderId="11" xfId="3" applyFont="1" applyFill="1" applyBorder="1" applyAlignment="1">
      <alignment horizontal="left" vertical="center"/>
    </xf>
    <xf numFmtId="166" fontId="42" fillId="6" borderId="11" xfId="3" applyFont="1" applyFill="1" applyBorder="1" applyAlignment="1">
      <alignment horizontal="right" vertical="center" wrapText="1"/>
    </xf>
    <xf numFmtId="166" fontId="169" fillId="19" borderId="174" xfId="3" applyFont="1" applyFill="1" applyBorder="1" applyAlignment="1">
      <alignment horizontal="center" vertical="center" wrapText="1"/>
    </xf>
    <xf numFmtId="166" fontId="169" fillId="19" borderId="181" xfId="3" applyFont="1" applyFill="1" applyBorder="1" applyAlignment="1">
      <alignment horizontal="center" vertical="center" wrapText="1"/>
    </xf>
    <xf numFmtId="165" fontId="169" fillId="19" borderId="174" xfId="2" applyFont="1" applyFill="1" applyBorder="1" applyAlignment="1">
      <alignment vertical="center" textRotation="45"/>
    </xf>
    <xf numFmtId="165" fontId="170" fillId="19" borderId="174" xfId="2" applyFont="1" applyFill="1" applyBorder="1" applyAlignment="1">
      <alignment vertical="center"/>
    </xf>
    <xf numFmtId="166" fontId="169" fillId="19" borderId="174" xfId="3" applyFont="1" applyFill="1" applyBorder="1" applyAlignment="1">
      <alignment textRotation="90"/>
    </xf>
    <xf numFmtId="166" fontId="169" fillId="19" borderId="181" xfId="3" applyFont="1" applyFill="1" applyBorder="1" applyAlignment="1">
      <alignment horizontal="center" textRotation="45"/>
    </xf>
    <xf numFmtId="165" fontId="26" fillId="0" borderId="11" xfId="2" applyFont="1" applyBorder="1" applyAlignment="1">
      <alignment horizontal="left" vertical="center"/>
    </xf>
    <xf numFmtId="166" fontId="26" fillId="2" borderId="11" xfId="3" applyFont="1" applyFill="1" applyBorder="1" applyAlignment="1">
      <alignment horizontal="left" vertical="center"/>
    </xf>
    <xf numFmtId="166" fontId="26" fillId="0" borderId="11" xfId="3" applyFont="1" applyFill="1" applyBorder="1" applyAlignment="1">
      <alignment horizontal="left" vertical="center"/>
    </xf>
    <xf numFmtId="165" fontId="26" fillId="0" borderId="11" xfId="2" applyFont="1" applyFill="1" applyBorder="1" applyAlignment="1">
      <alignment horizontal="left" vertical="center"/>
    </xf>
    <xf numFmtId="165" fontId="26" fillId="0" borderId="11" xfId="2" quotePrefix="1" applyFont="1" applyBorder="1" applyAlignment="1">
      <alignment horizontal="left" vertical="center"/>
    </xf>
    <xf numFmtId="0" fontId="26" fillId="0" borderId="11" xfId="0" applyFont="1" applyBorder="1" applyAlignment="1">
      <alignment horizontal="left" vertical="center"/>
    </xf>
    <xf numFmtId="166" fontId="26" fillId="0" borderId="11" xfId="3" applyFont="1" applyBorder="1" applyAlignment="1">
      <alignment horizontal="left" vertical="center"/>
    </xf>
    <xf numFmtId="165" fontId="26" fillId="0" borderId="11" xfId="2" applyFont="1" applyBorder="1" applyAlignment="1">
      <alignment horizontal="left" vertical="center" wrapText="1"/>
    </xf>
    <xf numFmtId="165" fontId="26" fillId="0" borderId="11" xfId="2" quotePrefix="1" applyFont="1" applyBorder="1" applyAlignment="1">
      <alignment horizontal="left" vertical="center" wrapText="1"/>
    </xf>
    <xf numFmtId="166" fontId="25" fillId="4" borderId="0" xfId="0" applyNumberFormat="1" applyFont="1" applyFill="1" applyAlignment="1">
      <alignment vertical="center"/>
    </xf>
    <xf numFmtId="0" fontId="85" fillId="0" borderId="0" xfId="0" applyFont="1" applyAlignment="1">
      <alignment vertical="center"/>
    </xf>
    <xf numFmtId="0" fontId="85" fillId="0" borderId="171" xfId="0" applyFont="1" applyBorder="1" applyAlignment="1">
      <alignment vertical="center" wrapText="1"/>
    </xf>
    <xf numFmtId="0" fontId="78" fillId="0" borderId="171" xfId="0" applyFont="1" applyBorder="1" applyAlignment="1">
      <alignment vertical="center" wrapText="1"/>
    </xf>
    <xf numFmtId="169" fontId="105" fillId="0" borderId="11" xfId="0" applyNumberFormat="1" applyFont="1" applyBorder="1" applyAlignment="1">
      <alignment vertical="center"/>
    </xf>
    <xf numFmtId="0" fontId="78" fillId="0" borderId="0" xfId="0" applyFont="1" applyAlignment="1">
      <alignment vertical="center"/>
    </xf>
    <xf numFmtId="0" fontId="85" fillId="0" borderId="11" xfId="2" quotePrefix="1" applyNumberFormat="1" applyFont="1" applyFill="1" applyBorder="1" applyAlignment="1">
      <alignment horizontal="center"/>
    </xf>
    <xf numFmtId="0" fontId="85" fillId="0" borderId="11" xfId="2" quotePrefix="1" applyNumberFormat="1" applyFont="1" applyFill="1" applyBorder="1" applyAlignment="1">
      <alignment horizontal="center" vertical="center"/>
    </xf>
    <xf numFmtId="0" fontId="85" fillId="0" borderId="11" xfId="2" applyNumberFormat="1" applyFont="1" applyFill="1" applyBorder="1" applyAlignment="1">
      <alignment horizontal="center"/>
    </xf>
    <xf numFmtId="0" fontId="85" fillId="0" borderId="0" xfId="2" applyNumberFormat="1" applyFont="1" applyFill="1" applyBorder="1" applyAlignment="1">
      <alignment horizontal="center"/>
    </xf>
    <xf numFmtId="0" fontId="85" fillId="0" borderId="22" xfId="2" applyNumberFormat="1" applyFont="1" applyFill="1" applyBorder="1" applyAlignment="1">
      <alignment horizontal="center"/>
    </xf>
    <xf numFmtId="0" fontId="171" fillId="0" borderId="0" xfId="2" applyNumberFormat="1" applyFont="1" applyFill="1" applyBorder="1" applyAlignment="1">
      <alignment horizontal="center"/>
    </xf>
    <xf numFmtId="0" fontId="4" fillId="0" borderId="0" xfId="2" applyNumberFormat="1" applyFont="1" applyFill="1" applyBorder="1" applyAlignment="1">
      <alignment horizontal="center"/>
    </xf>
    <xf numFmtId="0" fontId="78" fillId="0" borderId="171" xfId="0" quotePrefix="1" applyFont="1" applyBorder="1" applyAlignment="1">
      <alignment vertical="center" wrapText="1"/>
    </xf>
    <xf numFmtId="0" fontId="78" fillId="6" borderId="41" xfId="0" applyFont="1" applyFill="1" applyBorder="1" applyAlignment="1">
      <alignment vertical="center"/>
    </xf>
    <xf numFmtId="0" fontId="78" fillId="6" borderId="24" xfId="0" applyFont="1" applyFill="1" applyBorder="1" applyAlignment="1">
      <alignment horizontal="center" vertical="center"/>
    </xf>
    <xf numFmtId="169" fontId="78" fillId="6" borderId="11" xfId="0" applyNumberFormat="1" applyFont="1" applyFill="1" applyBorder="1" applyAlignment="1">
      <alignment vertical="center"/>
    </xf>
    <xf numFmtId="169" fontId="85" fillId="6" borderId="11" xfId="0" applyNumberFormat="1" applyFont="1" applyFill="1" applyBorder="1" applyAlignment="1">
      <alignment vertical="center"/>
    </xf>
    <xf numFmtId="0" fontId="78" fillId="6" borderId="0" xfId="0" applyFont="1" applyFill="1" applyAlignment="1">
      <alignment vertical="center"/>
    </xf>
    <xf numFmtId="49" fontId="14" fillId="0" borderId="28" xfId="0" applyNumberFormat="1" applyFont="1" applyBorder="1" applyAlignment="1">
      <alignment horizontal="center"/>
    </xf>
    <xf numFmtId="49" fontId="14" fillId="0" borderId="11" xfId="0" applyNumberFormat="1" applyFont="1" applyBorder="1" applyAlignment="1">
      <alignment horizontal="center"/>
    </xf>
    <xf numFmtId="0" fontId="20" fillId="0" borderId="0" xfId="0" quotePrefix="1" applyFont="1" applyAlignment="1">
      <alignment horizontal="center"/>
    </xf>
    <xf numFmtId="0" fontId="20" fillId="0" borderId="0" xfId="0" applyFont="1" applyAlignment="1">
      <alignment horizontal="center" vertical="center"/>
    </xf>
    <xf numFmtId="0" fontId="20" fillId="0" borderId="0" xfId="0" quotePrefix="1" applyFont="1" applyAlignment="1">
      <alignment horizontal="center" vertical="center"/>
    </xf>
    <xf numFmtId="0" fontId="132" fillId="19" borderId="174" xfId="0" applyFont="1" applyFill="1" applyBorder="1" applyAlignment="1">
      <alignment horizontal="center" vertical="center"/>
    </xf>
    <xf numFmtId="0" fontId="0" fillId="0" borderId="11" xfId="0" applyBorder="1"/>
    <xf numFmtId="0" fontId="0" fillId="0" borderId="28" xfId="0" applyBorder="1"/>
    <xf numFmtId="0" fontId="59" fillId="17" borderId="145" xfId="0" applyFont="1" applyFill="1" applyBorder="1" applyAlignment="1">
      <alignment vertical="center"/>
    </xf>
    <xf numFmtId="0" fontId="3" fillId="0" borderId="11" xfId="0" applyFont="1" applyBorder="1" applyAlignment="1">
      <alignment horizontal="justify" vertical="center" wrapText="1"/>
    </xf>
    <xf numFmtId="0" fontId="3" fillId="5" borderId="0" xfId="0" applyFont="1" applyFill="1"/>
    <xf numFmtId="168" fontId="85" fillId="4" borderId="11" xfId="0" applyNumberFormat="1" applyFont="1" applyFill="1" applyBorder="1" applyAlignment="1">
      <alignment horizontal="left" vertical="center"/>
    </xf>
    <xf numFmtId="168" fontId="39" fillId="6" borderId="54" xfId="0" applyNumberFormat="1" applyFont="1" applyFill="1" applyBorder="1" applyAlignment="1">
      <alignment vertical="center"/>
    </xf>
    <xf numFmtId="0" fontId="39" fillId="0" borderId="0" xfId="0" applyFont="1"/>
    <xf numFmtId="0" fontId="28" fillId="0" borderId="0" xfId="0" applyFont="1" applyAlignment="1">
      <alignment horizontal="center" vertical="center"/>
    </xf>
    <xf numFmtId="168" fontId="39" fillId="0" borderId="0" xfId="0" applyNumberFormat="1" applyFont="1"/>
    <xf numFmtId="0" fontId="39" fillId="0" borderId="0" xfId="0" quotePrefix="1" applyFont="1" applyAlignment="1">
      <alignment vertical="center"/>
    </xf>
    <xf numFmtId="0" fontId="53" fillId="0" borderId="145" xfId="0" quotePrefix="1" applyFont="1" applyBorder="1" applyAlignment="1">
      <alignment horizontal="left" vertical="center"/>
    </xf>
    <xf numFmtId="49" fontId="53" fillId="0" borderId="145" xfId="0" applyNumberFormat="1" applyFont="1" applyBorder="1" applyAlignment="1">
      <alignment vertical="center"/>
    </xf>
    <xf numFmtId="0" fontId="102" fillId="17" borderId="145" xfId="0" applyFont="1" applyFill="1" applyBorder="1" applyAlignment="1">
      <alignment vertical="center"/>
    </xf>
    <xf numFmtId="0" fontId="106" fillId="3" borderId="145" xfId="0" applyFont="1" applyFill="1" applyBorder="1" applyAlignment="1">
      <alignment vertical="center"/>
    </xf>
    <xf numFmtId="0" fontId="73" fillId="0" borderId="145" xfId="0" applyFont="1" applyBorder="1" applyAlignment="1">
      <alignment vertical="center"/>
    </xf>
    <xf numFmtId="0" fontId="114" fillId="0" borderId="145" xfId="0" applyFont="1" applyBorder="1" applyAlignment="1">
      <alignment vertical="center"/>
    </xf>
    <xf numFmtId="0" fontId="107" fillId="5" borderId="145" xfId="0" applyFont="1" applyFill="1" applyBorder="1" applyAlignment="1">
      <alignment vertical="center"/>
    </xf>
    <xf numFmtId="0" fontId="94" fillId="0" borderId="145" xfId="0" applyFont="1" applyBorder="1" applyAlignment="1">
      <alignment vertical="center"/>
    </xf>
    <xf numFmtId="0" fontId="102" fillId="6" borderId="145" xfId="0" applyFont="1" applyFill="1" applyBorder="1" applyAlignment="1">
      <alignment horizontal="left" vertical="center"/>
    </xf>
    <xf numFmtId="0" fontId="102" fillId="3" borderId="145" xfId="0" applyFont="1" applyFill="1" applyBorder="1" applyAlignment="1">
      <alignment horizontal="center" vertical="center"/>
    </xf>
    <xf numFmtId="0" fontId="102" fillId="6" borderId="145" xfId="0" applyFont="1" applyFill="1" applyBorder="1" applyAlignment="1">
      <alignment vertical="center"/>
    </xf>
    <xf numFmtId="0" fontId="107" fillId="0" borderId="0" xfId="0" applyFont="1" applyAlignment="1">
      <alignment vertical="center"/>
    </xf>
    <xf numFmtId="0" fontId="53" fillId="0" borderId="28" xfId="0" quotePrefix="1" applyFont="1" applyBorder="1" applyAlignment="1">
      <alignment horizontal="left" vertical="center"/>
    </xf>
    <xf numFmtId="0" fontId="53" fillId="0" borderId="11" xfId="0" quotePrefix="1" applyFont="1" applyBorder="1" applyAlignment="1">
      <alignment horizontal="left" vertical="center"/>
    </xf>
    <xf numFmtId="0" fontId="94" fillId="0" borderId="0" xfId="0" applyFont="1" applyAlignment="1">
      <alignment vertical="center"/>
    </xf>
    <xf numFmtId="0" fontId="53" fillId="0" borderId="57" xfId="0" quotePrefix="1" applyFont="1" applyBorder="1" applyAlignment="1">
      <alignment horizontal="left" vertical="center"/>
    </xf>
    <xf numFmtId="0" fontId="53" fillId="0" borderId="7" xfId="0" quotePrefix="1" applyFont="1" applyBorder="1" applyAlignment="1">
      <alignment horizontal="left" vertical="center"/>
    </xf>
    <xf numFmtId="0" fontId="53" fillId="0" borderId="49" xfId="0" quotePrefix="1" applyFont="1" applyBorder="1" applyAlignment="1">
      <alignment horizontal="left" vertical="center"/>
    </xf>
    <xf numFmtId="0" fontId="59" fillId="6" borderId="17" xfId="0" applyFont="1" applyFill="1" applyBorder="1" applyAlignment="1">
      <alignment horizontal="left" vertical="center"/>
    </xf>
    <xf numFmtId="0" fontId="59" fillId="6" borderId="28" xfId="0" applyFont="1" applyFill="1" applyBorder="1" applyAlignment="1">
      <alignment horizontal="left" vertical="center"/>
    </xf>
    <xf numFmtId="0" fontId="59" fillId="0" borderId="0" xfId="0" applyFont="1" applyAlignment="1">
      <alignment vertical="center"/>
    </xf>
    <xf numFmtId="0" fontId="53" fillId="0" borderId="4" xfId="0" quotePrefix="1" applyFont="1" applyBorder="1" applyAlignment="1">
      <alignment horizontal="left" vertical="center"/>
    </xf>
    <xf numFmtId="0" fontId="53" fillId="0" borderId="39" xfId="0" quotePrefix="1" applyFont="1" applyBorder="1" applyAlignment="1">
      <alignment horizontal="left" vertical="center"/>
    </xf>
    <xf numFmtId="0" fontId="53" fillId="0" borderId="76" xfId="0" quotePrefix="1" applyFont="1" applyBorder="1" applyAlignment="1">
      <alignment horizontal="left" vertical="center"/>
    </xf>
    <xf numFmtId="0" fontId="53" fillId="0" borderId="6" xfId="0" quotePrefix="1" applyFont="1" applyBorder="1" applyAlignment="1">
      <alignment horizontal="left" vertical="center"/>
    </xf>
    <xf numFmtId="0" fontId="53" fillId="0" borderId="0" xfId="0" quotePrefix="1" applyFont="1" applyAlignment="1">
      <alignment horizontal="left" vertical="center"/>
    </xf>
    <xf numFmtId="174" fontId="20" fillId="6" borderId="11" xfId="0" applyNumberFormat="1" applyFont="1" applyFill="1" applyBorder="1"/>
    <xf numFmtId="168" fontId="15" fillId="6" borderId="41" xfId="3" applyNumberFormat="1" applyFont="1" applyFill="1" applyBorder="1"/>
    <xf numFmtId="168" fontId="15" fillId="6" borderId="41" xfId="3" applyNumberFormat="1" applyFont="1" applyFill="1" applyBorder="1" applyAlignment="1">
      <alignment vertical="center"/>
    </xf>
    <xf numFmtId="170" fontId="74" fillId="0" borderId="145" xfId="2" applyNumberFormat="1" applyFont="1" applyFill="1" applyBorder="1" applyAlignment="1">
      <alignment horizontal="center"/>
    </xf>
    <xf numFmtId="166" fontId="25" fillId="7" borderId="65" xfId="0" applyNumberFormat="1" applyFont="1" applyFill="1" applyBorder="1" applyAlignment="1">
      <alignment horizontal="center" vertical="center"/>
    </xf>
    <xf numFmtId="164" fontId="13" fillId="2" borderId="3" xfId="3" applyNumberFormat="1" applyFont="1" applyFill="1" applyBorder="1" applyAlignment="1">
      <alignment horizontal="right" vertical="center"/>
    </xf>
    <xf numFmtId="166" fontId="25" fillId="4" borderId="11" xfId="3" applyFont="1" applyFill="1" applyBorder="1" applyAlignment="1">
      <alignment horizontal="center" vertical="center"/>
    </xf>
    <xf numFmtId="0" fontId="3" fillId="16" borderId="0" xfId="0" applyFont="1" applyFill="1"/>
    <xf numFmtId="166" fontId="0" fillId="0" borderId="0" xfId="3" applyFont="1" applyAlignment="1">
      <alignment vertical="center"/>
    </xf>
    <xf numFmtId="0" fontId="13" fillId="2" borderId="32" xfId="0" quotePrefix="1" applyFont="1" applyFill="1" applyBorder="1" applyAlignment="1">
      <alignment horizontal="left" vertical="center"/>
    </xf>
    <xf numFmtId="164" fontId="13" fillId="2" borderId="5" xfId="3" applyNumberFormat="1" applyFont="1" applyFill="1" applyBorder="1" applyAlignment="1">
      <alignment horizontal="right" vertical="center"/>
    </xf>
    <xf numFmtId="0" fontId="13" fillId="2" borderId="35" xfId="0" quotePrefix="1" applyFont="1" applyFill="1" applyBorder="1" applyAlignment="1">
      <alignment horizontal="left" vertical="center"/>
    </xf>
    <xf numFmtId="0" fontId="13" fillId="2" borderId="20" xfId="0" applyFont="1" applyFill="1" applyBorder="1" applyAlignment="1">
      <alignment horizontal="left" vertical="center"/>
    </xf>
    <xf numFmtId="0" fontId="13" fillId="2" borderId="20" xfId="0" applyFont="1" applyFill="1" applyBorder="1" applyAlignment="1">
      <alignment horizontal="left" vertical="center" wrapText="1"/>
    </xf>
    <xf numFmtId="49" fontId="177" fillId="2" borderId="0" xfId="0" applyNumberFormat="1" applyFont="1" applyFill="1" applyAlignment="1">
      <alignment horizontal="center"/>
    </xf>
    <xf numFmtId="49" fontId="178" fillId="2" borderId="0" xfId="0" applyNumberFormat="1" applyFont="1" applyFill="1" applyAlignment="1">
      <alignment horizontal="center"/>
    </xf>
    <xf numFmtId="49" fontId="3" fillId="2" borderId="0" xfId="0" applyNumberFormat="1" applyFont="1" applyFill="1" applyAlignment="1">
      <alignment horizontal="center"/>
    </xf>
    <xf numFmtId="0" fontId="3" fillId="2" borderId="0" xfId="0" applyFont="1" applyFill="1"/>
    <xf numFmtId="0" fontId="35" fillId="2" borderId="0" xfId="0" applyFont="1" applyFill="1"/>
    <xf numFmtId="49" fontId="3" fillId="2" borderId="0" xfId="0" applyNumberFormat="1" applyFont="1" applyFill="1" applyAlignment="1">
      <alignment horizontal="left" wrapText="1"/>
    </xf>
    <xf numFmtId="0" fontId="3" fillId="0" borderId="0" xfId="0" applyFont="1" applyAlignment="1">
      <alignment horizontal="left" wrapText="1"/>
    </xf>
    <xf numFmtId="0" fontId="3" fillId="0" borderId="0" xfId="0" applyFont="1" applyAlignment="1">
      <alignment horizontal="center" vertical="center" wrapText="1"/>
    </xf>
    <xf numFmtId="49" fontId="3" fillId="2" borderId="0" xfId="0" quotePrefix="1" applyNumberFormat="1" applyFont="1" applyFill="1" applyAlignment="1">
      <alignment horizontal="left" wrapText="1"/>
    </xf>
    <xf numFmtId="0" fontId="3" fillId="16" borderId="0" xfId="0" applyFont="1" applyFill="1" applyAlignment="1">
      <alignment horizontal="center" vertical="center"/>
    </xf>
    <xf numFmtId="49" fontId="3" fillId="2" borderId="0" xfId="0" applyNumberFormat="1" applyFont="1" applyFill="1"/>
    <xf numFmtId="0" fontId="177" fillId="2" borderId="0" xfId="0" applyFont="1" applyFill="1" applyAlignment="1">
      <alignment horizontal="center"/>
    </xf>
    <xf numFmtId="0" fontId="178" fillId="2" borderId="0" xfId="0" applyFont="1" applyFill="1" applyAlignment="1">
      <alignment horizontal="center"/>
    </xf>
    <xf numFmtId="0" fontId="3" fillId="2" borderId="0" xfId="0" applyFont="1" applyFill="1" applyAlignment="1">
      <alignment horizontal="center"/>
    </xf>
    <xf numFmtId="0" fontId="3" fillId="2" borderId="0" xfId="0" applyFont="1" applyFill="1" applyAlignment="1">
      <alignment horizontal="center" vertical="center"/>
    </xf>
    <xf numFmtId="49" fontId="26" fillId="0" borderId="6" xfId="0" applyNumberFormat="1" applyFont="1" applyBorder="1" applyAlignment="1">
      <alignment horizontal="center" vertical="top" wrapText="1"/>
    </xf>
    <xf numFmtId="0" fontId="26" fillId="0" borderId="7" xfId="0" applyFont="1" applyBorder="1" applyAlignment="1">
      <alignment horizontal="center" vertical="top" wrapText="1"/>
    </xf>
    <xf numFmtId="0" fontId="26" fillId="0" borderId="8" xfId="0" applyFont="1" applyBorder="1" applyAlignment="1">
      <alignment horizontal="center" vertical="top" wrapText="1"/>
    </xf>
    <xf numFmtId="0" fontId="26" fillId="0" borderId="9" xfId="0" applyFont="1" applyBorder="1" applyAlignment="1">
      <alignment horizontal="center" vertical="top" wrapText="1"/>
    </xf>
    <xf numFmtId="49" fontId="3" fillId="2" borderId="0" xfId="0" applyNumberFormat="1" applyFont="1" applyFill="1" applyAlignment="1">
      <alignment horizontal="center" vertical="center"/>
    </xf>
    <xf numFmtId="0" fontId="35" fillId="0" borderId="0" xfId="0" applyFont="1"/>
    <xf numFmtId="49" fontId="177" fillId="0" borderId="0" xfId="0" applyNumberFormat="1" applyFont="1" applyAlignment="1">
      <alignment horizontal="center"/>
    </xf>
    <xf numFmtId="49" fontId="178" fillId="0" borderId="0" xfId="0" applyNumberFormat="1" applyFont="1" applyAlignment="1">
      <alignment horizontal="center"/>
    </xf>
    <xf numFmtId="49" fontId="3" fillId="0" borderId="0" xfId="0" applyNumberFormat="1" applyFont="1" applyAlignment="1">
      <alignment horizontal="center"/>
    </xf>
    <xf numFmtId="49" fontId="3" fillId="0" borderId="0" xfId="0" applyNumberFormat="1" applyFont="1" applyAlignment="1">
      <alignment horizontal="center" vertical="center"/>
    </xf>
    <xf numFmtId="0" fontId="3" fillId="4" borderId="0" xfId="0" applyFont="1" applyFill="1"/>
    <xf numFmtId="0" fontId="3" fillId="4" borderId="0" xfId="0" applyFont="1" applyFill="1" applyAlignment="1">
      <alignment horizontal="center" vertical="center"/>
    </xf>
    <xf numFmtId="49" fontId="177" fillId="16" borderId="0" xfId="0" applyNumberFormat="1" applyFont="1" applyFill="1" applyAlignment="1">
      <alignment horizontal="center"/>
    </xf>
    <xf numFmtId="0" fontId="177" fillId="16" borderId="0" xfId="0" applyFont="1" applyFill="1" applyAlignment="1">
      <alignment horizontal="center"/>
    </xf>
    <xf numFmtId="0" fontId="178" fillId="16" borderId="0" xfId="0" applyFont="1" applyFill="1" applyAlignment="1">
      <alignment horizontal="center"/>
    </xf>
    <xf numFmtId="0" fontId="3" fillId="16" borderId="0" xfId="0" applyFont="1" applyFill="1" applyAlignment="1">
      <alignment horizontal="center"/>
    </xf>
    <xf numFmtId="0" fontId="35" fillId="16" borderId="0" xfId="0" applyFont="1" applyFill="1"/>
    <xf numFmtId="0" fontId="87" fillId="17" borderId="0" xfId="0" applyFont="1" applyFill="1" applyAlignment="1">
      <alignment horizontal="center" vertical="center" wrapText="1"/>
    </xf>
    <xf numFmtId="0" fontId="87" fillId="0" borderId="0" xfId="0" applyFont="1" applyAlignment="1">
      <alignment horizontal="center" vertical="center" wrapText="1"/>
    </xf>
    <xf numFmtId="173" fontId="27" fillId="0" borderId="0" xfId="0" applyNumberFormat="1" applyFont="1" applyAlignment="1">
      <alignment horizontal="center" vertical="center"/>
    </xf>
    <xf numFmtId="166" fontId="27" fillId="0" borderId="0" xfId="3" applyFont="1" applyFill="1" applyBorder="1" applyAlignment="1">
      <alignment horizontal="left" vertical="center"/>
    </xf>
    <xf numFmtId="166" fontId="27" fillId="0" borderId="0" xfId="3" applyFont="1" applyFill="1" applyBorder="1" applyAlignment="1">
      <alignment horizontal="center" vertical="center"/>
    </xf>
    <xf numFmtId="173" fontId="25" fillId="7" borderId="68" xfId="0" applyNumberFormat="1" applyFont="1" applyFill="1" applyBorder="1" applyAlignment="1">
      <alignment horizontal="center" vertical="center"/>
    </xf>
    <xf numFmtId="0" fontId="98" fillId="4" borderId="0" xfId="0" applyFont="1" applyFill="1" applyAlignment="1">
      <alignment horizontal="center" vertical="center"/>
    </xf>
    <xf numFmtId="173" fontId="25" fillId="4" borderId="0" xfId="0" applyNumberFormat="1" applyFont="1" applyFill="1" applyAlignment="1">
      <alignment horizontal="center" vertical="center"/>
    </xf>
    <xf numFmtId="173" fontId="27" fillId="0" borderId="0" xfId="0" applyNumberFormat="1" applyFont="1" applyAlignment="1">
      <alignment vertical="center"/>
    </xf>
    <xf numFmtId="173" fontId="25" fillId="7" borderId="68" xfId="0" applyNumberFormat="1" applyFont="1" applyFill="1" applyBorder="1" applyAlignment="1">
      <alignment vertical="center"/>
    </xf>
    <xf numFmtId="49" fontId="20" fillId="2" borderId="0" xfId="0" applyNumberFormat="1" applyFont="1" applyFill="1" applyAlignment="1">
      <alignment horizontal="left"/>
    </xf>
    <xf numFmtId="0" fontId="27" fillId="7" borderId="38" xfId="0" applyFont="1" applyFill="1" applyBorder="1" applyAlignment="1">
      <alignment horizontal="left" vertical="center"/>
    </xf>
    <xf numFmtId="173" fontId="25" fillId="7" borderId="68" xfId="0" applyNumberFormat="1" applyFont="1" applyFill="1" applyBorder="1" applyAlignment="1">
      <alignment horizontal="left" vertical="center"/>
    </xf>
    <xf numFmtId="0" fontId="27" fillId="0" borderId="0" xfId="0" applyFont="1" applyAlignment="1">
      <alignment horizontal="justify" vertical="center" wrapText="1"/>
    </xf>
    <xf numFmtId="0" fontId="27" fillId="0" borderId="0" xfId="0" applyFont="1" applyAlignment="1">
      <alignment horizontal="left" vertical="center"/>
    </xf>
    <xf numFmtId="173" fontId="25" fillId="0" borderId="0" xfId="0" applyNumberFormat="1" applyFont="1" applyAlignment="1">
      <alignment horizontal="center" vertical="center"/>
    </xf>
    <xf numFmtId="0" fontId="20" fillId="2" borderId="0" xfId="0" applyFont="1" applyFill="1" applyAlignment="1">
      <alignment horizontal="left"/>
    </xf>
    <xf numFmtId="49" fontId="177" fillId="4" borderId="0" xfId="0" applyNumberFormat="1" applyFont="1" applyFill="1" applyAlignment="1">
      <alignment horizontal="center"/>
    </xf>
    <xf numFmtId="0" fontId="177" fillId="4" borderId="0" xfId="0" applyFont="1" applyFill="1" applyAlignment="1">
      <alignment horizontal="center"/>
    </xf>
    <xf numFmtId="0" fontId="178" fillId="4" borderId="0" xfId="0" applyFont="1" applyFill="1" applyAlignment="1">
      <alignment horizontal="center"/>
    </xf>
    <xf numFmtId="0" fontId="3" fillId="4" borderId="0" xfId="0" applyFont="1" applyFill="1" applyAlignment="1">
      <alignment horizontal="center"/>
    </xf>
    <xf numFmtId="0" fontId="35" fillId="4" borderId="0" xfId="0" applyFont="1" applyFill="1"/>
    <xf numFmtId="49" fontId="3" fillId="2" borderId="0" xfId="0" applyNumberFormat="1" applyFont="1" applyFill="1" applyAlignment="1">
      <alignment horizontal="center" vertical="center" wrapText="1"/>
    </xf>
    <xf numFmtId="49" fontId="17" fillId="16" borderId="0" xfId="0" applyNumberFormat="1" applyFont="1" applyFill="1" applyAlignment="1">
      <alignment horizontal="left" vertical="center"/>
    </xf>
    <xf numFmtId="49" fontId="17" fillId="16" borderId="0" xfId="0" applyNumberFormat="1" applyFont="1" applyFill="1" applyAlignment="1">
      <alignment horizontal="center" vertical="center"/>
    </xf>
    <xf numFmtId="49" fontId="17" fillId="4" borderId="0" xfId="0" applyNumberFormat="1" applyFont="1" applyFill="1" applyAlignment="1">
      <alignment horizontal="left" vertical="center" wrapText="1"/>
    </xf>
    <xf numFmtId="49" fontId="17" fillId="4" borderId="0" xfId="0" applyNumberFormat="1" applyFont="1" applyFill="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49" fontId="3" fillId="2" borderId="0" xfId="0" applyNumberFormat="1" applyFont="1" applyFill="1" applyAlignment="1">
      <alignment horizontal="left"/>
    </xf>
    <xf numFmtId="49" fontId="3" fillId="16" borderId="0" xfId="0" applyNumberFormat="1" applyFont="1" applyFill="1" applyAlignment="1">
      <alignment horizontal="left"/>
    </xf>
    <xf numFmtId="49" fontId="3" fillId="16" borderId="0" xfId="0" applyNumberFormat="1" applyFont="1" applyFill="1" applyAlignment="1">
      <alignment horizontal="center" vertical="center"/>
    </xf>
    <xf numFmtId="0" fontId="20" fillId="16" borderId="0" xfId="0" applyFont="1" applyFill="1" applyAlignment="1">
      <alignment horizontal="left"/>
    </xf>
    <xf numFmtId="0" fontId="3" fillId="2" borderId="36" xfId="0" applyFont="1" applyFill="1" applyBorder="1" applyAlignment="1">
      <alignment vertical="center" wrapText="1"/>
    </xf>
    <xf numFmtId="0" fontId="3" fillId="0" borderId="35" xfId="0" applyFont="1" applyBorder="1" applyAlignment="1">
      <alignment vertical="center" wrapText="1"/>
    </xf>
    <xf numFmtId="49" fontId="3" fillId="4" borderId="0" xfId="0" applyNumberFormat="1" applyFont="1" applyFill="1"/>
    <xf numFmtId="0" fontId="177" fillId="0" borderId="0" xfId="0" applyFont="1" applyAlignment="1">
      <alignment horizontal="center"/>
    </xf>
    <xf numFmtId="0" fontId="178" fillId="0" borderId="0" xfId="0" applyFont="1" applyAlignment="1">
      <alignment horizontal="center"/>
    </xf>
    <xf numFmtId="49" fontId="17" fillId="16" borderId="0" xfId="0" applyNumberFormat="1" applyFont="1" applyFill="1" applyAlignment="1">
      <alignment horizontal="left" wrapText="1"/>
    </xf>
    <xf numFmtId="49" fontId="17" fillId="16" borderId="0" xfId="0" applyNumberFormat="1" applyFont="1" applyFill="1" applyAlignment="1">
      <alignment horizontal="center" vertical="center" wrapText="1"/>
    </xf>
    <xf numFmtId="49" fontId="17" fillId="4" borderId="0" xfId="0" applyNumberFormat="1" applyFont="1" applyFill="1" applyAlignment="1">
      <alignment horizontal="left" wrapText="1"/>
    </xf>
    <xf numFmtId="49" fontId="3" fillId="0" borderId="0" xfId="0" applyNumberFormat="1" applyFont="1"/>
    <xf numFmtId="170" fontId="53" fillId="0" borderId="145" xfId="0" applyNumberFormat="1" applyFont="1" applyBorder="1" applyAlignment="1">
      <alignment horizontal="center" vertical="center"/>
    </xf>
    <xf numFmtId="49" fontId="85" fillId="4" borderId="11" xfId="0" applyNumberFormat="1" applyFont="1" applyFill="1" applyBorder="1" applyAlignment="1">
      <alignment horizontal="center" vertical="center" wrapText="1"/>
    </xf>
    <xf numFmtId="166" fontId="85" fillId="0" borderId="11" xfId="3" applyFont="1" applyFill="1" applyBorder="1" applyAlignment="1">
      <alignment horizontal="left" vertical="center"/>
    </xf>
    <xf numFmtId="166" fontId="85" fillId="0" borderId="53" xfId="3" applyFont="1" applyFill="1" applyBorder="1" applyAlignment="1">
      <alignment horizontal="center" vertical="center" wrapText="1"/>
    </xf>
    <xf numFmtId="166" fontId="85" fillId="0" borderId="52" xfId="3" applyFont="1" applyFill="1" applyBorder="1" applyAlignment="1">
      <alignment horizontal="left" vertical="center"/>
    </xf>
    <xf numFmtId="0" fontId="85" fillId="0" borderId="11" xfId="0" applyFont="1" applyBorder="1" applyAlignment="1">
      <alignment horizontal="left" vertical="center" wrapText="1" shrinkToFit="1"/>
    </xf>
    <xf numFmtId="166" fontId="80" fillId="6" borderId="11" xfId="3" applyFont="1" applyFill="1" applyBorder="1" applyAlignment="1">
      <alignment horizontal="left"/>
    </xf>
    <xf numFmtId="10" fontId="160" fillId="19" borderId="174" xfId="0" applyNumberFormat="1" applyFont="1" applyFill="1" applyBorder="1" applyAlignment="1">
      <alignment horizontal="center" vertical="center" wrapText="1"/>
    </xf>
    <xf numFmtId="0" fontId="155" fillId="19" borderId="181" xfId="0" quotePrefix="1" applyFont="1" applyFill="1" applyBorder="1" applyAlignment="1">
      <alignment horizontal="center" vertical="center" wrapText="1"/>
    </xf>
    <xf numFmtId="170" fontId="51" fillId="6" borderId="145" xfId="0" applyNumberFormat="1" applyFont="1" applyFill="1" applyBorder="1" applyAlignment="1">
      <alignment horizontal="center"/>
    </xf>
    <xf numFmtId="170" fontId="52" fillId="0" borderId="145" xfId="2" applyNumberFormat="1" applyFont="1" applyFill="1" applyBorder="1" applyAlignment="1">
      <alignment horizontal="center"/>
    </xf>
    <xf numFmtId="170" fontId="102" fillId="3" borderId="145" xfId="2" applyNumberFormat="1" applyFont="1" applyFill="1" applyBorder="1" applyAlignment="1">
      <alignment horizontal="center"/>
    </xf>
    <xf numFmtId="49" fontId="3" fillId="0" borderId="0" xfId="1" applyNumberFormat="1" applyFont="1" applyFill="1" applyBorder="1" applyAlignment="1">
      <alignment horizontal="center"/>
    </xf>
    <xf numFmtId="0" fontId="183" fillId="19" borderId="174" xfId="0" applyFont="1" applyFill="1" applyBorder="1" applyAlignment="1">
      <alignment vertical="center" textRotation="90" wrapText="1"/>
    </xf>
    <xf numFmtId="0" fontId="184" fillId="19" borderId="181" xfId="0" applyFont="1" applyFill="1" applyBorder="1" applyAlignment="1">
      <alignment horizontal="center" vertical="center" wrapText="1"/>
    </xf>
    <xf numFmtId="0" fontId="182" fillId="19" borderId="181" xfId="0" applyFont="1" applyFill="1" applyBorder="1" applyAlignment="1">
      <alignment horizontal="center" vertical="center" wrapText="1"/>
    </xf>
    <xf numFmtId="0" fontId="182" fillId="19" borderId="181" xfId="0" quotePrefix="1" applyFont="1" applyFill="1" applyBorder="1" applyAlignment="1">
      <alignment horizontal="center" vertical="center" wrapText="1"/>
    </xf>
    <xf numFmtId="0" fontId="182" fillId="19" borderId="174" xfId="0" quotePrefix="1" applyFont="1" applyFill="1" applyBorder="1" applyAlignment="1">
      <alignment horizontal="center" vertical="center" wrapText="1"/>
    </xf>
    <xf numFmtId="164" fontId="25" fillId="6" borderId="43" xfId="3" applyNumberFormat="1" applyFont="1" applyFill="1" applyBorder="1" applyAlignment="1">
      <alignment horizontal="right"/>
    </xf>
    <xf numFmtId="49" fontId="26" fillId="0" borderId="185" xfId="0" applyNumberFormat="1" applyFont="1" applyBorder="1" applyAlignment="1">
      <alignment horizontal="center" vertical="top" wrapText="1"/>
    </xf>
    <xf numFmtId="0" fontId="26" fillId="0" borderId="186" xfId="0" applyFont="1" applyBorder="1" applyAlignment="1">
      <alignment horizontal="center" vertical="top" wrapText="1"/>
    </xf>
    <xf numFmtId="0" fontId="26" fillId="0" borderId="187" xfId="0" applyFont="1" applyBorder="1" applyAlignment="1">
      <alignment horizontal="center" vertical="top" wrapText="1"/>
    </xf>
    <xf numFmtId="0" fontId="26" fillId="0" borderId="188" xfId="0" applyFont="1" applyBorder="1" applyAlignment="1">
      <alignment horizontal="center" vertical="top" wrapText="1"/>
    </xf>
    <xf numFmtId="49" fontId="27" fillId="2" borderId="11" xfId="0" applyNumberFormat="1" applyFont="1" applyFill="1" applyBorder="1" applyAlignment="1">
      <alignment horizontal="center" vertical="center"/>
    </xf>
    <xf numFmtId="0" fontId="3" fillId="0" borderId="11" xfId="0" applyFont="1" applyBorder="1"/>
    <xf numFmtId="0" fontId="150" fillId="19" borderId="174" xfId="0" applyFont="1" applyFill="1" applyBorder="1" applyAlignment="1">
      <alignment horizontal="center" vertical="center" wrapText="1"/>
    </xf>
    <xf numFmtId="0" fontId="141" fillId="19" borderId="174" xfId="0" quotePrefix="1" applyFont="1" applyFill="1" applyBorder="1" applyAlignment="1">
      <alignment horizontal="center" vertical="center" wrapText="1"/>
    </xf>
    <xf numFmtId="166" fontId="14" fillId="0" borderId="58" xfId="3" applyFont="1" applyFill="1" applyBorder="1"/>
    <xf numFmtId="170" fontId="0" fillId="0" borderId="0" xfId="0" applyNumberFormat="1"/>
    <xf numFmtId="0" fontId="5" fillId="0" borderId="0" xfId="0" applyFont="1" applyAlignment="1">
      <alignment vertical="distributed" wrapText="1"/>
    </xf>
    <xf numFmtId="0" fontId="0" fillId="20" borderId="0" xfId="0" applyFill="1"/>
    <xf numFmtId="0" fontId="0" fillId="21" borderId="0" xfId="0" applyFill="1"/>
    <xf numFmtId="0" fontId="0" fillId="21" borderId="0" xfId="0" applyFill="1" applyAlignment="1">
      <alignment vertical="center"/>
    </xf>
    <xf numFmtId="0" fontId="0" fillId="20" borderId="0" xfId="0" applyFill="1" applyAlignment="1">
      <alignment vertical="center"/>
    </xf>
    <xf numFmtId="0" fontId="26" fillId="4" borderId="7" xfId="0" applyFont="1" applyFill="1" applyBorder="1" applyAlignment="1">
      <alignment horizontal="center" vertical="top" wrapText="1"/>
    </xf>
    <xf numFmtId="0" fontId="26" fillId="4" borderId="8" xfId="0" applyFont="1" applyFill="1" applyBorder="1" applyAlignment="1">
      <alignment horizontal="center" vertical="top" wrapText="1"/>
    </xf>
    <xf numFmtId="0" fontId="26" fillId="4" borderId="9" xfId="0" applyFont="1" applyFill="1" applyBorder="1" applyAlignment="1">
      <alignment horizontal="center" vertical="top" wrapText="1"/>
    </xf>
    <xf numFmtId="166" fontId="0" fillId="16" borderId="0" xfId="3" applyFont="1" applyFill="1"/>
    <xf numFmtId="0" fontId="26" fillId="16" borderId="0" xfId="0" applyFont="1" applyFill="1" applyAlignment="1">
      <alignment vertical="center"/>
    </xf>
    <xf numFmtId="0" fontId="0" fillId="4" borderId="11" xfId="0" applyFill="1" applyBorder="1" applyAlignment="1">
      <alignment horizontal="center" vertical="center"/>
    </xf>
    <xf numFmtId="0" fontId="85" fillId="4" borderId="38" xfId="0" applyFont="1" applyFill="1" applyBorder="1" applyAlignment="1">
      <alignment horizontal="center" vertical="center" wrapText="1"/>
    </xf>
    <xf numFmtId="0" fontId="85" fillId="4" borderId="28" xfId="0" applyFont="1" applyFill="1" applyBorder="1" applyAlignment="1">
      <alignment horizontal="center" vertical="center" wrapText="1"/>
    </xf>
    <xf numFmtId="166" fontId="85" fillId="4" borderId="53" xfId="3" applyFont="1" applyFill="1" applyBorder="1" applyAlignment="1">
      <alignment horizontal="left" vertical="center" wrapText="1"/>
    </xf>
    <xf numFmtId="0" fontId="0" fillId="4" borderId="0" xfId="0" applyFill="1" applyAlignment="1">
      <alignment vertical="center"/>
    </xf>
    <xf numFmtId="0" fontId="180" fillId="17" borderId="0" xfId="0" applyFont="1" applyFill="1" applyAlignment="1">
      <alignment horizontal="center" vertical="center"/>
    </xf>
    <xf numFmtId="169" fontId="78" fillId="22" borderId="11" xfId="0" applyNumberFormat="1" applyFont="1" applyFill="1" applyBorder="1" applyAlignment="1">
      <alignment vertical="center"/>
    </xf>
    <xf numFmtId="0" fontId="78" fillId="4" borderId="171" xfId="0" applyFont="1" applyFill="1" applyBorder="1" applyAlignment="1">
      <alignment vertical="center" wrapText="1"/>
    </xf>
    <xf numFmtId="166" fontId="78" fillId="0" borderId="0" xfId="3" applyFont="1" applyFill="1"/>
    <xf numFmtId="166" fontId="83" fillId="0" borderId="0" xfId="3" applyFont="1"/>
    <xf numFmtId="0" fontId="160" fillId="19" borderId="174" xfId="0" applyFont="1" applyFill="1" applyBorder="1" applyAlignment="1">
      <alignment horizontal="center" vertical="center"/>
    </xf>
    <xf numFmtId="0" fontId="180" fillId="17" borderId="0" xfId="0" applyFont="1" applyFill="1" applyAlignment="1">
      <alignment horizontal="center" vertical="center" wrapText="1"/>
    </xf>
    <xf numFmtId="0" fontId="129" fillId="19" borderId="174" xfId="0" applyFont="1" applyFill="1" applyBorder="1" applyAlignment="1">
      <alignment horizontal="center" vertical="center" wrapText="1"/>
    </xf>
    <xf numFmtId="0" fontId="160" fillId="19" borderId="174" xfId="0" quotePrefix="1" applyFont="1" applyFill="1" applyBorder="1" applyAlignment="1">
      <alignment horizontal="center" vertical="center" wrapText="1"/>
    </xf>
    <xf numFmtId="4" fontId="160" fillId="19" borderId="174" xfId="0" applyNumberFormat="1" applyFont="1" applyFill="1" applyBorder="1" applyAlignment="1">
      <alignment horizontal="center" vertical="center"/>
    </xf>
    <xf numFmtId="0" fontId="51" fillId="0" borderId="0" xfId="0" applyFont="1" applyAlignment="1">
      <alignment horizontal="center" vertical="center"/>
    </xf>
    <xf numFmtId="0" fontId="3" fillId="21" borderId="0" xfId="0" applyFont="1" applyFill="1" applyAlignment="1">
      <alignment vertical="center"/>
    </xf>
    <xf numFmtId="166" fontId="13" fillId="6" borderId="0" xfId="3" applyFont="1" applyFill="1" applyAlignment="1">
      <alignment vertical="center"/>
    </xf>
    <xf numFmtId="166" fontId="15" fillId="6" borderId="0" xfId="3" applyFont="1" applyFill="1"/>
    <xf numFmtId="169" fontId="78" fillId="0" borderId="28" xfId="0" quotePrefix="1" applyNumberFormat="1" applyFont="1" applyBorder="1" applyAlignment="1">
      <alignment horizontal="left" vertical="center"/>
    </xf>
    <xf numFmtId="0" fontId="85" fillId="0" borderId="28" xfId="2" applyNumberFormat="1" applyFont="1" applyFill="1" applyBorder="1" applyAlignment="1">
      <alignment horizontal="center" vertical="center"/>
    </xf>
    <xf numFmtId="169" fontId="78" fillId="0" borderId="28" xfId="0" applyNumberFormat="1" applyFont="1" applyBorder="1" applyAlignment="1">
      <alignment vertical="center"/>
    </xf>
    <xf numFmtId="164" fontId="78" fillId="0" borderId="28" xfId="0" applyNumberFormat="1" applyFont="1" applyBorder="1" applyAlignment="1">
      <alignment vertical="center"/>
    </xf>
    <xf numFmtId="166" fontId="80" fillId="0" borderId="28" xfId="3" applyFont="1" applyFill="1" applyBorder="1" applyAlignment="1">
      <alignment vertical="center" wrapText="1"/>
    </xf>
    <xf numFmtId="0" fontId="78" fillId="0" borderId="28" xfId="0" applyFont="1" applyBorder="1" applyAlignment="1">
      <alignment vertical="center"/>
    </xf>
    <xf numFmtId="0" fontId="130" fillId="19" borderId="174" xfId="0" quotePrefix="1" applyFont="1" applyFill="1" applyBorder="1" applyAlignment="1">
      <alignment horizontal="left" vertical="center"/>
    </xf>
    <xf numFmtId="0" fontId="134" fillId="19" borderId="174" xfId="0" applyFont="1" applyFill="1" applyBorder="1" applyAlignment="1">
      <alignment horizontal="center" vertical="center"/>
    </xf>
    <xf numFmtId="169" fontId="133" fillId="19" borderId="174" xfId="0" applyNumberFormat="1" applyFont="1" applyFill="1" applyBorder="1" applyAlignment="1">
      <alignment horizontal="center" vertical="center"/>
    </xf>
    <xf numFmtId="169" fontId="130" fillId="19" borderId="174" xfId="0" applyNumberFormat="1" applyFont="1" applyFill="1" applyBorder="1" applyAlignment="1">
      <alignment horizontal="center" vertical="center" wrapText="1"/>
    </xf>
    <xf numFmtId="166" fontId="130" fillId="19" borderId="174" xfId="3" applyFont="1" applyFill="1" applyBorder="1" applyAlignment="1">
      <alignment horizontal="center" vertical="center" wrapText="1"/>
    </xf>
    <xf numFmtId="0" fontId="130" fillId="19" borderId="174" xfId="0" quotePrefix="1" applyFont="1" applyFill="1" applyBorder="1" applyAlignment="1">
      <alignment horizontal="center" vertical="center" wrapText="1"/>
    </xf>
    <xf numFmtId="0" fontId="78" fillId="0" borderId="2" xfId="0" quotePrefix="1" applyFont="1" applyBorder="1" applyAlignment="1">
      <alignment horizontal="left" vertical="center"/>
    </xf>
    <xf numFmtId="169" fontId="78" fillId="0" borderId="23" xfId="0" applyNumberFormat="1" applyFont="1" applyBorder="1" applyAlignment="1">
      <alignment vertical="center"/>
    </xf>
    <xf numFmtId="0" fontId="85" fillId="0" borderId="0" xfId="2" applyNumberFormat="1" applyFont="1" applyFill="1" applyBorder="1" applyAlignment="1">
      <alignment horizontal="center" vertical="center"/>
    </xf>
    <xf numFmtId="169" fontId="78" fillId="0" borderId="0" xfId="0" applyNumberFormat="1" applyFont="1" applyAlignment="1">
      <alignment vertical="center"/>
    </xf>
    <xf numFmtId="169" fontId="80" fillId="0" borderId="0" xfId="0" applyNumberFormat="1" applyFont="1" applyAlignment="1">
      <alignment vertical="center"/>
    </xf>
    <xf numFmtId="0" fontId="0" fillId="4" borderId="0" xfId="0" applyFill="1" applyAlignment="1">
      <alignment horizontal="center"/>
    </xf>
    <xf numFmtId="0" fontId="85" fillId="4" borderId="53" xfId="0" applyFont="1" applyFill="1" applyBorder="1" applyAlignment="1">
      <alignment horizontal="left" vertical="center" wrapText="1"/>
    </xf>
    <xf numFmtId="164" fontId="26" fillId="0" borderId="0" xfId="0" applyNumberFormat="1" applyFont="1"/>
    <xf numFmtId="49" fontId="13" fillId="4" borderId="13" xfId="0" applyNumberFormat="1" applyFont="1" applyFill="1" applyBorder="1" applyAlignment="1">
      <alignment horizontal="center" vertical="center"/>
    </xf>
    <xf numFmtId="49" fontId="13" fillId="4" borderId="5" xfId="0" applyNumberFormat="1" applyFont="1" applyFill="1" applyBorder="1" applyAlignment="1">
      <alignment horizontal="center" vertical="center"/>
    </xf>
    <xf numFmtId="0" fontId="13" fillId="4" borderId="3" xfId="0" applyFont="1" applyFill="1" applyBorder="1" applyAlignment="1">
      <alignment horizontal="center" vertical="center" wrapText="1"/>
    </xf>
    <xf numFmtId="1" fontId="13" fillId="4" borderId="11" xfId="4" applyNumberFormat="1" applyFont="1" applyFill="1" applyBorder="1" applyAlignment="1">
      <alignment horizontal="center" vertical="center"/>
    </xf>
    <xf numFmtId="0" fontId="13" fillId="4" borderId="11" xfId="0" applyFont="1" applyFill="1" applyBorder="1" applyAlignment="1">
      <alignment horizontal="center" vertical="center"/>
    </xf>
    <xf numFmtId="49" fontId="17" fillId="4" borderId="0" xfId="0" applyNumberFormat="1" applyFont="1" applyFill="1" applyAlignment="1">
      <alignment horizontal="left" vertical="center"/>
    </xf>
    <xf numFmtId="49" fontId="17" fillId="4" borderId="0" xfId="0" applyNumberFormat="1" applyFont="1" applyFill="1" applyAlignment="1">
      <alignment horizontal="center" vertical="center"/>
    </xf>
    <xf numFmtId="0" fontId="26" fillId="4" borderId="0" xfId="0" applyFont="1" applyFill="1" applyAlignment="1">
      <alignment vertical="center"/>
    </xf>
    <xf numFmtId="49" fontId="3" fillId="4" borderId="0" xfId="0" applyNumberFormat="1" applyFont="1" applyFill="1" applyAlignment="1">
      <alignment horizontal="left"/>
    </xf>
    <xf numFmtId="49" fontId="3" fillId="4" borderId="0" xfId="0" applyNumberFormat="1" applyFont="1" applyFill="1" applyAlignment="1">
      <alignment horizontal="center" vertical="center"/>
    </xf>
    <xf numFmtId="0" fontId="20" fillId="4" borderId="0" xfId="0" applyFont="1" applyFill="1" applyAlignment="1">
      <alignment horizontal="left"/>
    </xf>
    <xf numFmtId="168" fontId="108" fillId="6" borderId="11" xfId="0" applyNumberFormat="1" applyFont="1" applyFill="1" applyBorder="1" applyAlignment="1">
      <alignment horizontal="center"/>
    </xf>
    <xf numFmtId="0" fontId="119" fillId="0" borderId="0" xfId="6" applyFont="1" applyFill="1" applyBorder="1" applyAlignment="1">
      <alignment horizontal="center"/>
    </xf>
    <xf numFmtId="164" fontId="10" fillId="0" borderId="0" xfId="0" applyNumberFormat="1" applyFont="1"/>
    <xf numFmtId="0" fontId="0" fillId="0" borderId="0" xfId="3" applyNumberFormat="1" applyFont="1"/>
    <xf numFmtId="0" fontId="0" fillId="16" borderId="0" xfId="3" applyNumberFormat="1" applyFont="1" applyFill="1"/>
    <xf numFmtId="0" fontId="3" fillId="0" borderId="0" xfId="3" applyNumberFormat="1" applyFont="1"/>
    <xf numFmtId="0" fontId="0" fillId="0" borderId="0" xfId="3" applyNumberFormat="1" applyFont="1" applyAlignment="1">
      <alignment vertical="center"/>
    </xf>
    <xf numFmtId="166" fontId="27" fillId="0" borderId="0" xfId="3" applyFont="1"/>
    <xf numFmtId="0" fontId="3" fillId="0" borderId="0" xfId="0" applyFont="1" applyAlignment="1">
      <alignment horizontal="left" vertical="distributed" wrapText="1"/>
    </xf>
    <xf numFmtId="173" fontId="108" fillId="6" borderId="11" xfId="0" applyNumberFormat="1" applyFont="1" applyFill="1" applyBorder="1"/>
    <xf numFmtId="166" fontId="108" fillId="0" borderId="11" xfId="3" applyFont="1" applyFill="1" applyBorder="1" applyAlignment="1"/>
    <xf numFmtId="0" fontId="27" fillId="0" borderId="11" xfId="0" applyFont="1" applyBorder="1" applyAlignment="1">
      <alignment horizontal="right"/>
    </xf>
    <xf numFmtId="0" fontId="108" fillId="0" borderId="11" xfId="0" applyFont="1" applyBorder="1" applyAlignment="1">
      <alignment horizontal="right"/>
    </xf>
    <xf numFmtId="168" fontId="51" fillId="0" borderId="85" xfId="0" applyNumberFormat="1" applyFont="1" applyBorder="1" applyAlignment="1">
      <alignment horizontal="center"/>
    </xf>
    <xf numFmtId="168" fontId="51" fillId="0" borderId="0" xfId="0" applyNumberFormat="1" applyFont="1" applyAlignment="1">
      <alignment horizontal="center"/>
    </xf>
    <xf numFmtId="0" fontId="13" fillId="2" borderId="20" xfId="0" applyFont="1" applyFill="1" applyBorder="1" applyAlignment="1">
      <alignment horizontal="center" vertical="center"/>
    </xf>
    <xf numFmtId="49" fontId="188" fillId="6" borderId="192" xfId="0" applyNumberFormat="1" applyFont="1" applyFill="1" applyBorder="1"/>
    <xf numFmtId="166" fontId="25" fillId="6" borderId="192" xfId="3" applyFont="1" applyFill="1" applyBorder="1" applyAlignment="1">
      <alignment horizontal="center" vertical="center"/>
    </xf>
    <xf numFmtId="49" fontId="27" fillId="2" borderId="145" xfId="0" applyNumberFormat="1" applyFont="1" applyFill="1" applyBorder="1" applyAlignment="1">
      <alignment horizontal="center" vertical="center"/>
    </xf>
    <xf numFmtId="49" fontId="27" fillId="2" borderId="149" xfId="0" applyNumberFormat="1" applyFont="1" applyFill="1" applyBorder="1" applyAlignment="1">
      <alignment horizontal="center" vertical="center"/>
    </xf>
    <xf numFmtId="0" fontId="27" fillId="0" borderId="199" xfId="0" applyFont="1" applyBorder="1" applyAlignment="1">
      <alignment horizontal="center" vertical="top" wrapText="1"/>
    </xf>
    <xf numFmtId="0" fontId="27" fillId="0" borderId="198" xfId="0" applyFont="1" applyBorder="1" applyAlignment="1">
      <alignment horizontal="center" vertical="top" wrapText="1"/>
    </xf>
    <xf numFmtId="49" fontId="27" fillId="0" borderId="200" xfId="0" applyNumberFormat="1" applyFont="1" applyBorder="1" applyAlignment="1">
      <alignment horizontal="center" vertical="top" wrapText="1"/>
    </xf>
    <xf numFmtId="49" fontId="27" fillId="2" borderId="201" xfId="0" applyNumberFormat="1" applyFont="1" applyFill="1" applyBorder="1" applyAlignment="1">
      <alignment horizontal="center" vertical="center"/>
    </xf>
    <xf numFmtId="49" fontId="27" fillId="2" borderId="202" xfId="0" applyNumberFormat="1" applyFont="1" applyFill="1" applyBorder="1" applyAlignment="1">
      <alignment horizontal="center" vertical="center"/>
    </xf>
    <xf numFmtId="164" fontId="27" fillId="2" borderId="203" xfId="3" applyNumberFormat="1" applyFont="1" applyFill="1" applyBorder="1" applyAlignment="1">
      <alignment horizontal="right"/>
    </xf>
    <xf numFmtId="164" fontId="27" fillId="2" borderId="204" xfId="3" applyNumberFormat="1" applyFont="1" applyFill="1" applyBorder="1" applyAlignment="1">
      <alignment horizontal="right"/>
    </xf>
    <xf numFmtId="164" fontId="27" fillId="0" borderId="204" xfId="3" applyNumberFormat="1" applyFont="1" applyFill="1" applyBorder="1" applyAlignment="1">
      <alignment horizontal="right"/>
    </xf>
    <xf numFmtId="166" fontId="3" fillId="0" borderId="206" xfId="3" applyFont="1" applyFill="1" applyBorder="1" applyAlignment="1">
      <alignment vertical="center"/>
    </xf>
    <xf numFmtId="166" fontId="3" fillId="0" borderId="207" xfId="3" applyFont="1" applyFill="1" applyBorder="1" applyAlignment="1">
      <alignment vertical="center"/>
    </xf>
    <xf numFmtId="1" fontId="3" fillId="4" borderId="52" xfId="4" applyNumberFormat="1" applyFont="1" applyFill="1" applyBorder="1" applyAlignment="1">
      <alignment horizontal="center" vertical="center"/>
    </xf>
    <xf numFmtId="49" fontId="3" fillId="4" borderId="208" xfId="4" applyNumberFormat="1" applyFont="1" applyFill="1" applyBorder="1" applyAlignment="1">
      <alignment horizontal="justify" vertical="center" wrapText="1"/>
    </xf>
    <xf numFmtId="49" fontId="3" fillId="4" borderId="207" xfId="4" applyNumberFormat="1" applyFont="1" applyFill="1" applyBorder="1" applyAlignment="1">
      <alignment horizontal="justify" vertical="center" wrapText="1"/>
    </xf>
    <xf numFmtId="164" fontId="13" fillId="2" borderId="212" xfId="3" applyNumberFormat="1" applyFont="1" applyFill="1" applyBorder="1" applyAlignment="1">
      <alignment horizontal="right"/>
    </xf>
    <xf numFmtId="164" fontId="13" fillId="2" borderId="213" xfId="3" applyNumberFormat="1" applyFont="1" applyFill="1" applyBorder="1" applyAlignment="1">
      <alignment horizontal="right"/>
    </xf>
    <xf numFmtId="0" fontId="27" fillId="4" borderId="52" xfId="0" applyFont="1" applyFill="1" applyBorder="1" applyAlignment="1">
      <alignment horizontal="center" vertical="center"/>
    </xf>
    <xf numFmtId="0" fontId="27" fillId="4" borderId="209" xfId="0" applyFont="1" applyFill="1" applyBorder="1" applyAlignment="1">
      <alignment vertical="center" wrapText="1"/>
    </xf>
    <xf numFmtId="0" fontId="27" fillId="4" borderId="205" xfId="0" applyFont="1" applyFill="1" applyBorder="1" applyAlignment="1">
      <alignment vertical="center"/>
    </xf>
    <xf numFmtId="0" fontId="27" fillId="4" borderId="210" xfId="0" applyFont="1" applyFill="1" applyBorder="1" applyAlignment="1">
      <alignment vertical="center" wrapText="1"/>
    </xf>
    <xf numFmtId="0" fontId="27" fillId="4" borderId="215" xfId="0" applyFont="1" applyFill="1" applyBorder="1" applyAlignment="1">
      <alignment horizontal="center" vertical="center"/>
    </xf>
    <xf numFmtId="0" fontId="27" fillId="4" borderId="208" xfId="0" applyFont="1" applyFill="1" applyBorder="1" applyAlignment="1">
      <alignment horizontal="left" vertical="center" wrapText="1"/>
    </xf>
    <xf numFmtId="0" fontId="27" fillId="4" borderId="216" xfId="0" applyFont="1" applyFill="1" applyBorder="1" applyAlignment="1">
      <alignment horizontal="left" vertical="center" wrapText="1"/>
    </xf>
    <xf numFmtId="0" fontId="27" fillId="4" borderId="211" xfId="0" applyFont="1" applyFill="1" applyBorder="1" applyAlignment="1">
      <alignment horizontal="left" vertical="center" wrapText="1"/>
    </xf>
    <xf numFmtId="166" fontId="27" fillId="0" borderId="208" xfId="3" applyFont="1" applyFill="1" applyBorder="1" applyAlignment="1">
      <alignment vertical="center"/>
    </xf>
    <xf numFmtId="166" fontId="27" fillId="0" borderId="207" xfId="3" applyFont="1" applyFill="1" applyBorder="1" applyAlignment="1">
      <alignment vertical="center"/>
    </xf>
    <xf numFmtId="0" fontId="27" fillId="4" borderId="197" xfId="0" applyFont="1" applyFill="1" applyBorder="1" applyAlignment="1">
      <alignment horizontal="center" vertical="center" wrapText="1"/>
    </xf>
    <xf numFmtId="0" fontId="27" fillId="4" borderId="146" xfId="0" applyFont="1" applyFill="1" applyBorder="1" applyAlignment="1">
      <alignment horizontal="center" vertical="center" wrapText="1"/>
    </xf>
    <xf numFmtId="4" fontId="27" fillId="4" borderId="203" xfId="1" applyNumberFormat="1" applyFont="1" applyFill="1" applyBorder="1" applyAlignment="1">
      <alignment horizontal="left" vertical="center" wrapText="1"/>
    </xf>
    <xf numFmtId="4" fontId="27" fillId="4" borderId="204" xfId="1" applyNumberFormat="1" applyFont="1" applyFill="1" applyBorder="1" applyAlignment="1">
      <alignment horizontal="left" vertical="center" wrapText="1"/>
    </xf>
    <xf numFmtId="49" fontId="27" fillId="4" borderId="204" xfId="4" applyNumberFormat="1" applyFont="1" applyFill="1" applyBorder="1" applyAlignment="1">
      <alignment horizontal="justify" vertical="center" wrapText="1"/>
    </xf>
    <xf numFmtId="49" fontId="27" fillId="2" borderId="217" xfId="0" applyNumberFormat="1" applyFont="1" applyFill="1" applyBorder="1" applyAlignment="1">
      <alignment horizontal="center" vertical="center"/>
    </xf>
    <xf numFmtId="49" fontId="27" fillId="2" borderId="218" xfId="0" applyNumberFormat="1" applyFont="1" applyFill="1" applyBorder="1" applyAlignment="1">
      <alignment horizontal="center" vertical="center"/>
    </xf>
    <xf numFmtId="0" fontId="27" fillId="4" borderId="219" xfId="0" applyFont="1" applyFill="1" applyBorder="1" applyAlignment="1">
      <alignment horizontal="center" vertical="center" wrapText="1"/>
    </xf>
    <xf numFmtId="49" fontId="27" fillId="4" borderId="220" xfId="4" applyNumberFormat="1" applyFont="1" applyFill="1" applyBorder="1" applyAlignment="1">
      <alignment horizontal="justify" vertical="center" wrapText="1"/>
    </xf>
    <xf numFmtId="166" fontId="27" fillId="0" borderId="220" xfId="3" applyFont="1" applyFill="1" applyBorder="1" applyAlignment="1">
      <alignment vertical="center"/>
    </xf>
    <xf numFmtId="1" fontId="3" fillId="4" borderId="67" xfId="4" applyNumberFormat="1" applyFont="1" applyFill="1" applyBorder="1" applyAlignment="1">
      <alignment horizontal="center" vertical="center"/>
    </xf>
    <xf numFmtId="49" fontId="3" fillId="4" borderId="222" xfId="4" applyNumberFormat="1" applyFont="1" applyFill="1" applyBorder="1" applyAlignment="1">
      <alignment horizontal="justify" vertical="center" wrapText="1"/>
    </xf>
    <xf numFmtId="166" fontId="3" fillId="0" borderId="222" xfId="3" applyFont="1" applyFill="1" applyBorder="1" applyAlignment="1">
      <alignment vertical="center"/>
    </xf>
    <xf numFmtId="49" fontId="122" fillId="6" borderId="192" xfId="0" applyNumberFormat="1" applyFont="1" applyFill="1" applyBorder="1" applyAlignment="1">
      <alignment vertical="center"/>
    </xf>
    <xf numFmtId="166" fontId="96" fillId="6" borderId="192" xfId="3" applyFont="1" applyFill="1" applyBorder="1" applyAlignment="1">
      <alignment vertical="center"/>
    </xf>
    <xf numFmtId="49" fontId="27" fillId="2" borderId="221" xfId="0" applyNumberFormat="1" applyFont="1" applyFill="1" applyBorder="1" applyAlignment="1">
      <alignment horizontal="center" vertical="center"/>
    </xf>
    <xf numFmtId="49" fontId="27" fillId="2" borderId="49" xfId="0" applyNumberFormat="1" applyFont="1" applyFill="1" applyBorder="1" applyAlignment="1">
      <alignment horizontal="center" vertical="center"/>
    </xf>
    <xf numFmtId="0" fontId="27" fillId="4" borderId="67" xfId="0" applyFont="1" applyFill="1" applyBorder="1" applyAlignment="1">
      <alignment horizontal="center" vertical="center"/>
    </xf>
    <xf numFmtId="164" fontId="13" fillId="2" borderId="223" xfId="3" applyNumberFormat="1" applyFont="1" applyFill="1" applyBorder="1" applyAlignment="1">
      <alignment horizontal="right"/>
    </xf>
    <xf numFmtId="166" fontId="25" fillId="6" borderId="192" xfId="3" applyFont="1" applyFill="1" applyBorder="1" applyAlignment="1">
      <alignment vertical="center"/>
    </xf>
    <xf numFmtId="0" fontId="27" fillId="4" borderId="222" xfId="0" applyFont="1" applyFill="1" applyBorder="1" applyAlignment="1">
      <alignment vertical="center" wrapText="1"/>
    </xf>
    <xf numFmtId="164" fontId="13" fillId="2" borderId="23" xfId="3" applyNumberFormat="1" applyFont="1" applyFill="1" applyBorder="1" applyAlignment="1">
      <alignment horizontal="right"/>
    </xf>
    <xf numFmtId="49" fontId="122" fillId="6" borderId="192" xfId="0" applyNumberFormat="1" applyFont="1" applyFill="1" applyBorder="1"/>
    <xf numFmtId="166" fontId="25" fillId="6" borderId="192" xfId="3" applyFont="1" applyFill="1" applyBorder="1"/>
    <xf numFmtId="164" fontId="13" fillId="2" borderId="224" xfId="3" applyNumberFormat="1" applyFont="1" applyFill="1" applyBorder="1" applyAlignment="1">
      <alignment horizontal="right"/>
    </xf>
    <xf numFmtId="0" fontId="78" fillId="0" borderId="53" xfId="0" applyFont="1" applyBorder="1" applyAlignment="1">
      <alignment horizontal="left" vertical="center"/>
    </xf>
    <xf numFmtId="0" fontId="78" fillId="0" borderId="38" xfId="0" applyFont="1" applyBorder="1" applyAlignment="1">
      <alignment horizontal="center" vertical="center" wrapText="1"/>
    </xf>
    <xf numFmtId="0" fontId="78" fillId="0" borderId="28" xfId="0" applyFont="1" applyBorder="1" applyAlignment="1">
      <alignment horizontal="center" vertical="center" wrapText="1"/>
    </xf>
    <xf numFmtId="166" fontId="78" fillId="0" borderId="53" xfId="3" applyFont="1" applyFill="1" applyBorder="1" applyAlignment="1">
      <alignment horizontal="left" vertical="center" wrapText="1"/>
    </xf>
    <xf numFmtId="0" fontId="27" fillId="4" borderId="0" xfId="0" applyFont="1" applyFill="1"/>
    <xf numFmtId="0" fontId="27" fillId="0" borderId="28" xfId="0" applyFont="1" applyBorder="1" applyAlignment="1">
      <alignment horizontal="center" vertical="center"/>
    </xf>
    <xf numFmtId="49" fontId="78" fillId="4" borderId="28" xfId="0" applyNumberFormat="1" applyFont="1" applyFill="1" applyBorder="1" applyAlignment="1">
      <alignment horizontal="center" vertical="center" wrapText="1"/>
    </xf>
    <xf numFmtId="168" fontId="78" fillId="4" borderId="28" xfId="0" applyNumberFormat="1" applyFont="1" applyFill="1" applyBorder="1" applyAlignment="1">
      <alignment horizontal="left" vertical="center"/>
    </xf>
    <xf numFmtId="49" fontId="126" fillId="19" borderId="225" xfId="0" applyNumberFormat="1" applyFont="1" applyFill="1" applyBorder="1" applyAlignment="1">
      <alignment horizontal="center" vertical="top" wrapText="1"/>
    </xf>
    <xf numFmtId="1" fontId="27" fillId="0" borderId="52" xfId="4" applyNumberFormat="1" applyFont="1" applyBorder="1" applyAlignment="1">
      <alignment horizontal="center" vertical="center"/>
    </xf>
    <xf numFmtId="166" fontId="27" fillId="0" borderId="41" xfId="3" applyFont="1" applyFill="1" applyBorder="1" applyAlignment="1">
      <alignment vertical="center"/>
    </xf>
    <xf numFmtId="166" fontId="27" fillId="0" borderId="32" xfId="3" applyFont="1" applyFill="1" applyBorder="1" applyAlignment="1">
      <alignment vertical="center"/>
    </xf>
    <xf numFmtId="166" fontId="27" fillId="0" borderId="20" xfId="3" applyFont="1" applyFill="1" applyBorder="1" applyAlignment="1">
      <alignment vertical="center"/>
    </xf>
    <xf numFmtId="49" fontId="27" fillId="0" borderId="13" xfId="4" applyNumberFormat="1" applyFont="1" applyBorder="1" applyAlignment="1">
      <alignment horizontal="justify" vertical="center" wrapText="1"/>
    </xf>
    <xf numFmtId="49" fontId="27" fillId="0" borderId="3" xfId="4" applyNumberFormat="1" applyFont="1" applyBorder="1" applyAlignment="1">
      <alignment horizontal="justify" vertical="center" wrapText="1"/>
    </xf>
    <xf numFmtId="0" fontId="13" fillId="4" borderId="52" xfId="0" applyFont="1" applyFill="1" applyBorder="1" applyAlignment="1">
      <alignment horizontal="center" vertical="center" wrapText="1"/>
    </xf>
    <xf numFmtId="49" fontId="3" fillId="4" borderId="52" xfId="0" applyNumberFormat="1" applyFont="1" applyFill="1" applyBorder="1" applyAlignment="1">
      <alignment horizontal="center" vertical="center"/>
    </xf>
    <xf numFmtId="0" fontId="3" fillId="4" borderId="52" xfId="0" applyFont="1" applyFill="1" applyBorder="1" applyAlignment="1">
      <alignment horizontal="center" vertical="center" wrapText="1"/>
    </xf>
    <xf numFmtId="1" fontId="3" fillId="4" borderId="53" xfId="4" applyNumberFormat="1" applyFont="1" applyFill="1" applyBorder="1" applyAlignment="1">
      <alignment horizontal="center" vertical="center"/>
    </xf>
    <xf numFmtId="166" fontId="3" fillId="0" borderId="20" xfId="3" applyFont="1" applyFill="1" applyBorder="1" applyAlignment="1">
      <alignment vertical="center"/>
    </xf>
    <xf numFmtId="49" fontId="3" fillId="0" borderId="13" xfId="4" applyNumberFormat="1" applyFont="1" applyBorder="1" applyAlignment="1">
      <alignment horizontal="justify" vertical="center" wrapText="1"/>
    </xf>
    <xf numFmtId="49" fontId="3" fillId="0" borderId="5" xfId="4" applyNumberFormat="1" applyFont="1" applyBorder="1" applyAlignment="1">
      <alignment horizontal="justify" vertical="center" wrapText="1"/>
    </xf>
    <xf numFmtId="49" fontId="3" fillId="0" borderId="3" xfId="4" applyNumberFormat="1" applyFont="1" applyBorder="1" applyAlignment="1">
      <alignment horizontal="justify" vertical="center" wrapText="1"/>
    </xf>
    <xf numFmtId="49" fontId="3" fillId="0" borderId="19" xfId="4" applyNumberFormat="1" applyFont="1" applyBorder="1" applyAlignment="1">
      <alignment horizontal="justify" vertical="center" wrapText="1"/>
    </xf>
    <xf numFmtId="166" fontId="3" fillId="0" borderId="29" xfId="3" applyFont="1" applyFill="1" applyBorder="1" applyAlignment="1">
      <alignment vertical="center"/>
    </xf>
    <xf numFmtId="49" fontId="122" fillId="6" borderId="6" xfId="0" applyNumberFormat="1" applyFont="1" applyFill="1" applyBorder="1" applyAlignment="1">
      <alignment vertical="center"/>
    </xf>
    <xf numFmtId="166" fontId="96" fillId="6" borderId="41" xfId="3" applyFont="1" applyFill="1" applyBorder="1" applyAlignment="1">
      <alignment vertical="center"/>
    </xf>
    <xf numFmtId="49" fontId="122" fillId="6" borderId="6" xfId="0" applyNumberFormat="1" applyFont="1" applyFill="1" applyBorder="1"/>
    <xf numFmtId="166" fontId="96" fillId="6" borderId="41" xfId="3" applyFont="1" applyFill="1" applyBorder="1"/>
    <xf numFmtId="0" fontId="13" fillId="2" borderId="29" xfId="0" applyFont="1" applyFill="1" applyBorder="1" applyAlignment="1">
      <alignment horizontal="center" vertical="center"/>
    </xf>
    <xf numFmtId="0" fontId="13" fillId="2" borderId="29" xfId="0" applyFont="1" applyFill="1" applyBorder="1" applyAlignment="1">
      <alignment horizontal="left" vertical="center"/>
    </xf>
    <xf numFmtId="164" fontId="13" fillId="2" borderId="19" xfId="3" applyNumberFormat="1" applyFont="1" applyFill="1" applyBorder="1" applyAlignment="1">
      <alignment horizontal="right" vertical="center"/>
    </xf>
    <xf numFmtId="166" fontId="15" fillId="6" borderId="41" xfId="3" applyFont="1" applyFill="1" applyBorder="1" applyAlignment="1">
      <alignment vertical="center"/>
    </xf>
    <xf numFmtId="49" fontId="27" fillId="2" borderId="17" xfId="0" applyNumberFormat="1" applyFont="1" applyFill="1" applyBorder="1" applyAlignment="1">
      <alignment horizontal="center" vertical="center"/>
    </xf>
    <xf numFmtId="166" fontId="25" fillId="6" borderId="41" xfId="3" applyFont="1" applyFill="1" applyBorder="1"/>
    <xf numFmtId="49" fontId="27" fillId="4" borderId="221" xfId="0" applyNumberFormat="1" applyFont="1" applyFill="1" applyBorder="1" applyAlignment="1">
      <alignment horizontal="center"/>
    </xf>
    <xf numFmtId="49" fontId="27" fillId="4" borderId="49" xfId="0" applyNumberFormat="1" applyFont="1" applyFill="1" applyBorder="1" applyAlignment="1">
      <alignment horizontal="center"/>
    </xf>
    <xf numFmtId="166" fontId="3" fillId="0" borderId="41" xfId="3" applyFont="1" applyFill="1" applyBorder="1" applyAlignment="1">
      <alignment vertical="center"/>
    </xf>
    <xf numFmtId="164" fontId="13" fillId="0" borderId="41" xfId="3" applyNumberFormat="1" applyFont="1" applyFill="1" applyBorder="1" applyAlignment="1">
      <alignment horizontal="right"/>
    </xf>
    <xf numFmtId="164" fontId="13" fillId="0" borderId="41" xfId="3" applyNumberFormat="1" applyFont="1" applyFill="1" applyBorder="1" applyAlignment="1">
      <alignment horizontal="right" vertical="center"/>
    </xf>
    <xf numFmtId="164" fontId="13" fillId="0" borderId="32" xfId="3" applyNumberFormat="1" applyFont="1" applyFill="1" applyBorder="1" applyAlignment="1">
      <alignment horizontal="right" vertical="center"/>
    </xf>
    <xf numFmtId="164" fontId="13" fillId="0" borderId="20" xfId="3" applyNumberFormat="1" applyFont="1" applyFill="1" applyBorder="1" applyAlignment="1">
      <alignment horizontal="right" vertical="center"/>
    </xf>
    <xf numFmtId="164" fontId="13" fillId="2" borderId="20" xfId="3" applyNumberFormat="1" applyFont="1" applyFill="1" applyBorder="1" applyAlignment="1">
      <alignment horizontal="right"/>
    </xf>
    <xf numFmtId="164" fontId="13" fillId="2" borderId="21" xfId="3" applyNumberFormat="1" applyFont="1" applyFill="1" applyBorder="1" applyAlignment="1">
      <alignment horizontal="right"/>
    </xf>
    <xf numFmtId="4" fontId="27" fillId="0" borderId="3" xfId="1" applyNumberFormat="1" applyFont="1" applyFill="1" applyBorder="1" applyAlignment="1">
      <alignment horizontal="left" vertical="center" wrapText="1"/>
    </xf>
    <xf numFmtId="4" fontId="27" fillId="0" borderId="226" xfId="1" applyNumberFormat="1" applyFont="1" applyFill="1" applyBorder="1" applyAlignment="1">
      <alignment horizontal="left" vertical="center" wrapText="1"/>
    </xf>
    <xf numFmtId="49" fontId="27" fillId="2" borderId="214" xfId="0" applyNumberFormat="1" applyFont="1" applyFill="1" applyBorder="1" applyAlignment="1">
      <alignment horizontal="center" vertical="center"/>
    </xf>
    <xf numFmtId="49" fontId="27" fillId="2" borderId="215" xfId="0" applyNumberFormat="1" applyFont="1" applyFill="1" applyBorder="1" applyAlignment="1">
      <alignment horizontal="center" vertical="center"/>
    </xf>
    <xf numFmtId="49" fontId="3" fillId="2" borderId="52" xfId="0" applyNumberFormat="1" applyFont="1" applyFill="1" applyBorder="1" applyAlignment="1">
      <alignment horizontal="center" vertical="center"/>
    </xf>
    <xf numFmtId="49" fontId="27" fillId="2" borderId="52" xfId="0" applyNumberFormat="1" applyFont="1" applyFill="1" applyBorder="1" applyAlignment="1">
      <alignment horizontal="center" vertical="center"/>
    </xf>
    <xf numFmtId="0" fontId="13" fillId="4" borderId="13" xfId="0" applyFont="1" applyFill="1" applyBorder="1" applyAlignment="1">
      <alignment horizontal="center" vertical="center" wrapText="1"/>
    </xf>
    <xf numFmtId="1" fontId="3" fillId="4" borderId="3" xfId="4" applyNumberFormat="1" applyFont="1" applyFill="1" applyBorder="1" applyAlignment="1">
      <alignment horizontal="center" vertical="center"/>
    </xf>
    <xf numFmtId="49" fontId="3" fillId="4" borderId="3" xfId="0" applyNumberFormat="1" applyFont="1" applyFill="1" applyBorder="1" applyAlignment="1">
      <alignment horizontal="center" vertical="center"/>
    </xf>
    <xf numFmtId="0" fontId="3" fillId="4" borderId="3" xfId="0" applyFont="1" applyFill="1" applyBorder="1" applyAlignment="1">
      <alignment horizontal="center" vertical="center" wrapText="1"/>
    </xf>
    <xf numFmtId="0" fontId="13" fillId="4" borderId="226" xfId="0" applyFont="1" applyFill="1" applyBorder="1" applyAlignment="1">
      <alignment horizontal="center" vertical="center" wrapText="1"/>
    </xf>
    <xf numFmtId="49" fontId="3" fillId="2" borderId="53" xfId="0" applyNumberFormat="1" applyFont="1" applyFill="1" applyBorder="1" applyAlignment="1">
      <alignment horizontal="center" vertical="center"/>
    </xf>
    <xf numFmtId="49" fontId="27" fillId="2" borderId="67" xfId="0" applyNumberFormat="1" applyFont="1" applyFill="1" applyBorder="1" applyAlignment="1">
      <alignment horizontal="center" vertical="center"/>
    </xf>
    <xf numFmtId="0" fontId="13" fillId="4" borderId="33" xfId="0" applyFont="1" applyFill="1" applyBorder="1" applyAlignment="1">
      <alignment horizontal="center" vertical="center" wrapText="1"/>
    </xf>
    <xf numFmtId="1" fontId="3" fillId="4" borderId="82" xfId="4" applyNumberFormat="1" applyFont="1" applyFill="1" applyBorder="1" applyAlignment="1">
      <alignment horizontal="center" vertical="center"/>
    </xf>
    <xf numFmtId="49" fontId="3" fillId="4" borderId="82" xfId="0" applyNumberFormat="1" applyFont="1" applyFill="1" applyBorder="1" applyAlignment="1">
      <alignment horizontal="center" vertical="center"/>
    </xf>
    <xf numFmtId="0" fontId="3" fillId="4" borderId="82" xfId="0" applyFont="1" applyFill="1" applyBorder="1" applyAlignment="1">
      <alignment horizontal="center" vertical="center" wrapText="1"/>
    </xf>
    <xf numFmtId="0" fontId="13" fillId="4" borderId="82" xfId="0" applyFont="1" applyFill="1" applyBorder="1" applyAlignment="1">
      <alignment horizontal="center" vertical="center" wrapText="1"/>
    </xf>
    <xf numFmtId="1" fontId="27" fillId="4" borderId="82" xfId="4" applyNumberFormat="1" applyFont="1" applyFill="1" applyBorder="1" applyAlignment="1">
      <alignment horizontal="center" vertical="center"/>
    </xf>
    <xf numFmtId="1" fontId="27" fillId="4" borderId="34" xfId="4" applyNumberFormat="1" applyFont="1" applyFill="1" applyBorder="1" applyAlignment="1">
      <alignment horizontal="center" vertical="center"/>
    </xf>
    <xf numFmtId="49" fontId="27" fillId="2" borderId="53" xfId="0" applyNumberFormat="1" applyFont="1" applyFill="1" applyBorder="1" applyAlignment="1">
      <alignment horizontal="center" vertical="center"/>
    </xf>
    <xf numFmtId="49" fontId="27" fillId="2" borderId="50" xfId="0" applyNumberFormat="1" applyFont="1" applyFill="1" applyBorder="1" applyAlignment="1">
      <alignment horizontal="center" vertical="center"/>
    </xf>
    <xf numFmtId="49" fontId="27" fillId="2" borderId="5" xfId="0" applyNumberFormat="1" applyFont="1" applyFill="1" applyBorder="1" applyAlignment="1">
      <alignment horizontal="center" vertical="center"/>
    </xf>
    <xf numFmtId="49" fontId="13" fillId="4" borderId="4" xfId="0" applyNumberFormat="1" applyFont="1" applyFill="1" applyBorder="1" applyAlignment="1">
      <alignment horizontal="center" vertical="center"/>
    </xf>
    <xf numFmtId="49" fontId="27" fillId="4" borderId="53" xfId="0" applyNumberFormat="1" applyFont="1" applyFill="1" applyBorder="1" applyAlignment="1">
      <alignment horizontal="center"/>
    </xf>
    <xf numFmtId="49" fontId="27" fillId="4" borderId="50" xfId="0" applyNumberFormat="1" applyFont="1" applyFill="1" applyBorder="1" applyAlignment="1">
      <alignment horizontal="center"/>
    </xf>
    <xf numFmtId="1" fontId="27" fillId="4" borderId="33" xfId="4" applyNumberFormat="1" applyFont="1" applyFill="1" applyBorder="1" applyAlignment="1">
      <alignment horizontal="center" vertical="center"/>
    </xf>
    <xf numFmtId="0" fontId="27" fillId="4" borderId="82" xfId="0" applyFont="1" applyFill="1" applyBorder="1" applyAlignment="1">
      <alignment horizontal="center" vertical="center"/>
    </xf>
    <xf numFmtId="0" fontId="27" fillId="4" borderId="34" xfId="0" applyFont="1" applyFill="1" applyBorder="1" applyAlignment="1">
      <alignment horizontal="center" vertical="center"/>
    </xf>
    <xf numFmtId="166" fontId="27" fillId="0" borderId="21" xfId="3" applyFont="1" applyFill="1" applyBorder="1" applyAlignment="1">
      <alignment vertical="center"/>
    </xf>
    <xf numFmtId="49" fontId="27" fillId="0" borderId="226" xfId="4" applyNumberFormat="1" applyFont="1" applyBorder="1" applyAlignment="1">
      <alignment horizontal="justify" vertical="center" wrapText="1"/>
    </xf>
    <xf numFmtId="0" fontId="0" fillId="0" borderId="0" xfId="0" applyAlignment="1">
      <alignment horizontal="left" vertical="center"/>
    </xf>
    <xf numFmtId="49" fontId="27" fillId="0" borderId="5" xfId="4" applyNumberFormat="1" applyFont="1" applyBorder="1" applyAlignment="1">
      <alignment horizontal="justify" vertical="center" wrapText="1"/>
    </xf>
    <xf numFmtId="0" fontId="108" fillId="4" borderId="11" xfId="0" applyFont="1" applyFill="1" applyBorder="1"/>
    <xf numFmtId="0" fontId="108" fillId="6" borderId="0" xfId="0" applyFont="1" applyFill="1"/>
    <xf numFmtId="166" fontId="0" fillId="0" borderId="0" xfId="0" applyNumberFormat="1"/>
    <xf numFmtId="0" fontId="85" fillId="4" borderId="53" xfId="0" applyFont="1" applyFill="1" applyBorder="1" applyAlignment="1">
      <alignment horizontal="left" vertical="center"/>
    </xf>
    <xf numFmtId="0" fontId="149" fillId="0" borderId="0" xfId="0" applyFont="1" applyAlignment="1">
      <alignment horizontal="center"/>
    </xf>
    <xf numFmtId="0" fontId="16" fillId="0" borderId="0" xfId="0" applyFont="1" applyAlignment="1">
      <alignment horizontal="center"/>
    </xf>
    <xf numFmtId="0" fontId="39" fillId="0" borderId="0" xfId="0" applyFont="1" applyAlignment="1">
      <alignment horizontal="center"/>
    </xf>
    <xf numFmtId="0" fontId="174" fillId="0" borderId="0" xfId="0" applyFont="1" applyAlignment="1">
      <alignment horizontal="center" vertical="distributed"/>
    </xf>
    <xf numFmtId="166" fontId="26" fillId="4" borderId="11" xfId="3" applyFont="1" applyFill="1" applyBorder="1" applyAlignment="1">
      <alignment horizontal="left" vertical="center"/>
    </xf>
    <xf numFmtId="166" fontId="85" fillId="4" borderId="0" xfId="3" applyFont="1" applyFill="1"/>
    <xf numFmtId="166" fontId="78" fillId="4" borderId="0" xfId="3" applyFont="1" applyFill="1"/>
    <xf numFmtId="0" fontId="185" fillId="4" borderId="0" xfId="3" applyNumberFormat="1" applyFont="1" applyFill="1"/>
    <xf numFmtId="0" fontId="174" fillId="0" borderId="0" xfId="0" applyFont="1" applyAlignment="1">
      <alignment horizontal="center" vertical="distributed"/>
    </xf>
    <xf numFmtId="0" fontId="130" fillId="19" borderId="174" xfId="0" applyFont="1" applyFill="1" applyBorder="1" applyAlignment="1">
      <alignment horizontal="center" vertical="distributed"/>
    </xf>
    <xf numFmtId="0" fontId="20" fillId="0" borderId="0" xfId="0" quotePrefix="1" applyFont="1" applyAlignment="1">
      <alignment horizontal="justify" vertical="distributed" wrapText="1"/>
    </xf>
    <xf numFmtId="0" fontId="20" fillId="0" borderId="0" xfId="0" quotePrefix="1" applyFont="1" applyAlignment="1">
      <alignment horizontal="center"/>
    </xf>
    <xf numFmtId="0" fontId="20" fillId="0" borderId="0" xfId="0" applyFont="1" applyAlignment="1">
      <alignment horizontal="center" vertical="center"/>
    </xf>
    <xf numFmtId="0" fontId="20" fillId="0" borderId="0" xfId="0" quotePrefix="1" applyFont="1" applyAlignment="1">
      <alignment horizontal="center" vertical="center"/>
    </xf>
    <xf numFmtId="0" fontId="6" fillId="0" borderId="0" xfId="0" quotePrefix="1" applyFont="1" applyAlignment="1">
      <alignment horizontal="left" vertical="distributed" wrapText="1"/>
    </xf>
    <xf numFmtId="0" fontId="6" fillId="0" borderId="0" xfId="0" applyFont="1" applyAlignment="1">
      <alignment horizontal="justify" vertical="distributed" wrapText="1"/>
    </xf>
    <xf numFmtId="0" fontId="20" fillId="0" borderId="0" xfId="0" quotePrefix="1" applyFont="1" applyAlignment="1">
      <alignment horizontal="center"/>
    </xf>
    <xf numFmtId="0" fontId="20" fillId="0" borderId="0" xfId="0" applyFont="1" applyAlignment="1">
      <alignment horizontal="center" vertical="center"/>
    </xf>
    <xf numFmtId="0" fontId="20" fillId="0" borderId="0" xfId="0" quotePrefix="1" applyFont="1" applyAlignment="1">
      <alignment horizontal="center" vertical="center"/>
    </xf>
    <xf numFmtId="0" fontId="25" fillId="0" borderId="0" xfId="0" applyFont="1" applyAlignment="1">
      <alignment horizontal="justify" vertical="distributed" wrapText="1"/>
    </xf>
    <xf numFmtId="0" fontId="3" fillId="21" borderId="0" xfId="0" applyFont="1" applyFill="1"/>
    <xf numFmtId="0" fontId="3" fillId="21" borderId="0" xfId="0" applyFont="1" applyFill="1" applyAlignment="1">
      <alignment horizontal="center" vertical="center"/>
    </xf>
    <xf numFmtId="0" fontId="0" fillId="4" borderId="28" xfId="0" applyFill="1" applyBorder="1" applyAlignment="1">
      <alignment horizontal="center" vertical="center"/>
    </xf>
    <xf numFmtId="49" fontId="85" fillId="4" borderId="28" xfId="0" applyNumberFormat="1" applyFont="1" applyFill="1" applyBorder="1" applyAlignment="1">
      <alignment horizontal="center" vertical="center" wrapText="1"/>
    </xf>
    <xf numFmtId="168" fontId="85" fillId="4" borderId="28" xfId="0" applyNumberFormat="1" applyFont="1" applyFill="1" applyBorder="1" applyAlignment="1">
      <alignment horizontal="left" vertical="center"/>
    </xf>
    <xf numFmtId="49" fontId="126" fillId="19" borderId="174" xfId="0" applyNumberFormat="1" applyFont="1" applyFill="1" applyBorder="1" applyAlignment="1">
      <alignment horizontal="center" vertical="top" wrapText="1"/>
    </xf>
    <xf numFmtId="0" fontId="76" fillId="21" borderId="0" xfId="0" applyFont="1" applyFill="1" applyAlignment="1">
      <alignment horizontal="center" vertical="center" wrapText="1"/>
    </xf>
    <xf numFmtId="0" fontId="180" fillId="21" borderId="0" xfId="0" applyFont="1" applyFill="1" applyAlignment="1">
      <alignment horizontal="center" vertical="center" wrapText="1"/>
    </xf>
    <xf numFmtId="0" fontId="87" fillId="21" borderId="0" xfId="0" applyFont="1" applyFill="1" applyAlignment="1">
      <alignment horizontal="left" vertical="center"/>
    </xf>
    <xf numFmtId="0" fontId="193" fillId="21" borderId="0" xfId="0" applyFont="1" applyFill="1" applyAlignment="1">
      <alignment horizontal="center" vertical="center" wrapText="1"/>
    </xf>
    <xf numFmtId="0" fontId="180" fillId="21" borderId="0" xfId="0" applyFont="1" applyFill="1" applyAlignment="1">
      <alignment horizontal="center" vertical="center"/>
    </xf>
    <xf numFmtId="170" fontId="114" fillId="4" borderId="145" xfId="0" applyNumberFormat="1" applyFont="1" applyFill="1" applyBorder="1" applyAlignment="1">
      <alignment horizontal="center"/>
    </xf>
    <xf numFmtId="0" fontId="25" fillId="0" borderId="0" xfId="0" quotePrefix="1" applyFont="1" applyAlignment="1">
      <alignment horizontal="left" vertical="distributed" wrapText="1"/>
    </xf>
    <xf numFmtId="0" fontId="6" fillId="0" borderId="0" xfId="0" quotePrefix="1" applyFont="1" applyAlignment="1">
      <alignment horizontal="center"/>
    </xf>
    <xf numFmtId="0" fontId="6" fillId="0" borderId="0" xfId="0" applyFont="1" applyAlignment="1">
      <alignment horizontal="center"/>
    </xf>
    <xf numFmtId="0" fontId="27" fillId="0" borderId="0" xfId="0" quotePrefix="1" applyFont="1" applyAlignment="1">
      <alignment horizontal="justify" vertical="center" wrapText="1"/>
    </xf>
    <xf numFmtId="0" fontId="27" fillId="0" borderId="0" xfId="0" quotePrefix="1" applyFont="1" applyAlignment="1">
      <alignment horizontal="justify" vertical="justify" wrapText="1"/>
    </xf>
    <xf numFmtId="0" fontId="27" fillId="0" borderId="0" xfId="0" applyFont="1" applyAlignment="1">
      <alignment horizontal="justify" vertical="justify" wrapText="1"/>
    </xf>
    <xf numFmtId="0" fontId="26" fillId="0" borderId="11" xfId="2" applyNumberFormat="1" applyFont="1" applyBorder="1" applyAlignment="1">
      <alignment horizontal="center" vertical="center"/>
    </xf>
    <xf numFmtId="0" fontId="26" fillId="0" borderId="11" xfId="2" applyNumberFormat="1" applyFont="1" applyFill="1" applyBorder="1" applyAlignment="1">
      <alignment horizontal="center" vertical="center"/>
    </xf>
    <xf numFmtId="0" fontId="26" fillId="0" borderId="11" xfId="0" applyFont="1" applyBorder="1" applyAlignment="1">
      <alignment horizontal="center" vertical="center"/>
    </xf>
    <xf numFmtId="49" fontId="39" fillId="0" borderId="0" xfId="0" applyNumberFormat="1" applyFont="1" applyAlignment="1">
      <alignment horizontal="center"/>
    </xf>
    <xf numFmtId="0" fontId="28" fillId="0" borderId="0" xfId="0" applyFont="1" applyAlignment="1">
      <alignment horizontal="center"/>
    </xf>
    <xf numFmtId="0" fontId="28" fillId="2" borderId="0" xfId="0" applyFont="1" applyFill="1" applyAlignment="1">
      <alignment horizontal="center"/>
    </xf>
    <xf numFmtId="0" fontId="51" fillId="0" borderId="11" xfId="0" applyFont="1" applyBorder="1"/>
    <xf numFmtId="4" fontId="91" fillId="0" borderId="11" xfId="1" applyNumberFormat="1" applyFont="1" applyFill="1" applyBorder="1" applyAlignment="1">
      <alignment horizontal="left" vertical="center" wrapText="1"/>
    </xf>
    <xf numFmtId="0" fontId="53" fillId="0" borderId="11" xfId="0" applyFont="1" applyBorder="1" applyAlignment="1">
      <alignment horizontal="left" vertical="center"/>
    </xf>
    <xf numFmtId="0" fontId="91" fillId="0" borderId="11" xfId="0" applyFont="1" applyBorder="1" applyAlignment="1">
      <alignment horizontal="left" vertical="center" wrapText="1"/>
    </xf>
    <xf numFmtId="0" fontId="91" fillId="0" borderId="11" xfId="0" quotePrefix="1" applyFont="1" applyBorder="1" applyAlignment="1">
      <alignment horizontal="left" vertical="center" wrapText="1"/>
    </xf>
    <xf numFmtId="4" fontId="91" fillId="0" borderId="11" xfId="1" quotePrefix="1" applyNumberFormat="1" applyFont="1" applyFill="1" applyBorder="1" applyAlignment="1">
      <alignment horizontal="left" vertical="center" wrapText="1"/>
    </xf>
    <xf numFmtId="0" fontId="194" fillId="0" borderId="11" xfId="0" applyFont="1" applyBorder="1" applyAlignment="1">
      <alignment horizontal="left" vertical="center"/>
    </xf>
    <xf numFmtId="49" fontId="108" fillId="0" borderId="11" xfId="1" applyNumberFormat="1" applyFont="1" applyFill="1" applyBorder="1" applyAlignment="1">
      <alignment horizontal="left" vertical="center"/>
    </xf>
    <xf numFmtId="4" fontId="196" fillId="0" borderId="11" xfId="1" applyNumberFormat="1" applyFont="1" applyFill="1" applyBorder="1" applyAlignment="1">
      <alignment horizontal="left" vertical="center" wrapText="1"/>
    </xf>
    <xf numFmtId="0" fontId="108" fillId="0" borderId="11" xfId="0" applyFont="1" applyBorder="1" applyAlignment="1">
      <alignment horizontal="left" vertical="center"/>
    </xf>
    <xf numFmtId="0" fontId="196" fillId="0" borderId="11" xfId="0" applyFont="1" applyBorder="1" applyAlignment="1">
      <alignment horizontal="left" vertical="center" wrapText="1"/>
    </xf>
    <xf numFmtId="0" fontId="196" fillId="0" borderId="11" xfId="0" quotePrefix="1" applyFont="1" applyBorder="1" applyAlignment="1">
      <alignment horizontal="left" vertical="center" wrapText="1"/>
    </xf>
    <xf numFmtId="168" fontId="94" fillId="0" borderId="11" xfId="3" applyNumberFormat="1" applyFont="1" applyFill="1" applyBorder="1" applyAlignment="1">
      <alignment horizontal="right"/>
    </xf>
    <xf numFmtId="166" fontId="94" fillId="0" borderId="11" xfId="3" applyFont="1" applyFill="1" applyBorder="1" applyAlignment="1"/>
    <xf numFmtId="168" fontId="94" fillId="0" borderId="11" xfId="0" applyNumberFormat="1" applyFont="1" applyBorder="1"/>
    <xf numFmtId="168" fontId="94" fillId="6" borderId="184" xfId="3" applyNumberFormat="1" applyFont="1" applyFill="1" applyBorder="1" applyAlignment="1">
      <alignment horizontal="right"/>
    </xf>
    <xf numFmtId="168" fontId="114" fillId="6" borderId="11" xfId="0" applyNumberFormat="1" applyFont="1" applyFill="1" applyBorder="1"/>
    <xf numFmtId="168" fontId="114" fillId="6" borderId="11" xfId="3" applyNumberFormat="1" applyFont="1" applyFill="1" applyBorder="1" applyAlignment="1">
      <alignment horizontal="right"/>
    </xf>
    <xf numFmtId="166" fontId="197" fillId="0" borderId="11" xfId="3" applyFont="1" applyFill="1" applyBorder="1"/>
    <xf numFmtId="168" fontId="198" fillId="0" borderId="11" xfId="3" applyNumberFormat="1" applyFont="1" applyFill="1" applyBorder="1" applyAlignment="1">
      <alignment horizontal="right"/>
    </xf>
    <xf numFmtId="0" fontId="94" fillId="0" borderId="11" xfId="0" applyFont="1" applyBorder="1"/>
    <xf numFmtId="0" fontId="14" fillId="0" borderId="51" xfId="0" applyFont="1" applyBorder="1" applyAlignment="1">
      <alignment horizontal="center" vertical="center"/>
    </xf>
    <xf numFmtId="0" fontId="199" fillId="0" borderId="0" xfId="0" applyFont="1"/>
    <xf numFmtId="0" fontId="200" fillId="0" borderId="50" xfId="0" applyFont="1" applyBorder="1"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200" fillId="0" borderId="50" xfId="0" applyFont="1" applyBorder="1"/>
    <xf numFmtId="0" fontId="27" fillId="0" borderId="0" xfId="0" applyFont="1" applyAlignment="1">
      <alignment vertical="center" wrapText="1"/>
    </xf>
    <xf numFmtId="0" fontId="27" fillId="0" borderId="38" xfId="0" applyFont="1" applyBorder="1"/>
    <xf numFmtId="0" fontId="27" fillId="0" borderId="53" xfId="0" applyFont="1" applyBorder="1"/>
    <xf numFmtId="0" fontId="16" fillId="0" borderId="0" xfId="0" applyFont="1" applyAlignment="1">
      <alignment horizontal="center"/>
    </xf>
    <xf numFmtId="0" fontId="3" fillId="0" borderId="0" xfId="0" applyFont="1" applyAlignment="1">
      <alignment horizontal="center"/>
    </xf>
    <xf numFmtId="164" fontId="96" fillId="6" borderId="183" xfId="3" applyNumberFormat="1" applyFont="1" applyFill="1" applyBorder="1" applyAlignment="1">
      <alignment horizontal="right"/>
    </xf>
    <xf numFmtId="0" fontId="78" fillId="0" borderId="0" xfId="0" applyFont="1" applyAlignment="1">
      <alignment vertical="center" wrapText="1"/>
    </xf>
    <xf numFmtId="0" fontId="78" fillId="4" borderId="171" xfId="0" quotePrefix="1" applyFont="1" applyFill="1" applyBorder="1" applyAlignment="1">
      <alignment vertical="center" wrapText="1"/>
    </xf>
    <xf numFmtId="0" fontId="81" fillId="16" borderId="45" xfId="0" applyFont="1" applyFill="1" applyBorder="1" applyAlignment="1">
      <alignment horizontal="center" vertical="center"/>
    </xf>
    <xf numFmtId="0" fontId="81" fillId="16" borderId="46" xfId="0" applyFont="1" applyFill="1" applyBorder="1" applyAlignment="1">
      <alignment horizontal="center" vertical="center"/>
    </xf>
    <xf numFmtId="0" fontId="80" fillId="16" borderId="46" xfId="0" applyFont="1" applyFill="1" applyBorder="1" applyAlignment="1">
      <alignment horizontal="center" vertical="center"/>
    </xf>
    <xf numFmtId="49" fontId="81" fillId="16" borderId="46" xfId="0" applyNumberFormat="1" applyFont="1" applyFill="1" applyBorder="1" applyAlignment="1">
      <alignment horizontal="center" vertical="center"/>
    </xf>
    <xf numFmtId="0" fontId="172" fillId="19" borderId="171" xfId="0" applyFont="1" applyFill="1" applyBorder="1" applyAlignment="1">
      <alignment horizontal="center" vertical="center" wrapText="1"/>
    </xf>
    <xf numFmtId="169" fontId="78" fillId="4" borderId="11" xfId="0" quotePrefix="1" applyNumberFormat="1" applyFont="1" applyFill="1" applyBorder="1" applyAlignment="1">
      <alignment horizontal="left" vertical="center"/>
    </xf>
    <xf numFmtId="0" fontId="78" fillId="6" borderId="5" xfId="0" applyFont="1" applyFill="1" applyBorder="1" applyAlignment="1">
      <alignment horizontal="center"/>
    </xf>
    <xf numFmtId="49" fontId="3" fillId="2" borderId="0" xfId="0" applyNumberFormat="1" applyFont="1" applyFill="1" applyBorder="1" applyAlignment="1">
      <alignment horizontal="left" vertical="center" wrapText="1"/>
    </xf>
    <xf numFmtId="0" fontId="3" fillId="0" borderId="0" xfId="0" applyFont="1" applyBorder="1" applyAlignment="1">
      <alignment horizontal="left" vertical="center" wrapText="1"/>
    </xf>
    <xf numFmtId="49" fontId="3" fillId="2" borderId="0" xfId="0" quotePrefix="1" applyNumberFormat="1" applyFont="1" applyFill="1" applyBorder="1" applyAlignment="1">
      <alignment horizontal="left" vertical="center" wrapText="1"/>
    </xf>
    <xf numFmtId="164" fontId="13" fillId="2" borderId="213" xfId="3" applyNumberFormat="1" applyFont="1" applyFill="1" applyBorder="1" applyAlignment="1">
      <alignment horizontal="right" vertical="center"/>
    </xf>
    <xf numFmtId="166" fontId="27" fillId="0" borderId="35" xfId="3" applyFont="1" applyFill="1" applyBorder="1" applyAlignment="1">
      <alignment vertical="center"/>
    </xf>
    <xf numFmtId="44" fontId="0" fillId="4" borderId="0" xfId="0" applyNumberFormat="1" applyFill="1"/>
    <xf numFmtId="49" fontId="126" fillId="19" borderId="17" xfId="0" applyNumberFormat="1" applyFont="1" applyFill="1" applyBorder="1" applyAlignment="1">
      <alignment horizontal="center" vertical="top" wrapText="1"/>
    </xf>
    <xf numFmtId="49" fontId="26" fillId="2" borderId="11" xfId="0" applyNumberFormat="1" applyFont="1" applyFill="1" applyBorder="1" applyAlignment="1">
      <alignment horizontal="center" vertical="center"/>
    </xf>
    <xf numFmtId="49" fontId="27" fillId="2" borderId="227" xfId="0" applyNumberFormat="1" applyFont="1" applyFill="1" applyBorder="1" applyAlignment="1">
      <alignment horizontal="center" vertical="center"/>
    </xf>
    <xf numFmtId="166" fontId="15" fillId="6" borderId="41" xfId="3" applyFont="1" applyFill="1" applyBorder="1"/>
    <xf numFmtId="0" fontId="154" fillId="19" borderId="174" xfId="0" applyFont="1" applyFill="1" applyBorder="1" applyAlignment="1">
      <alignment horizontal="center" vertical="center" textRotation="90" wrapText="1"/>
    </xf>
    <xf numFmtId="0" fontId="14" fillId="4" borderId="11" xfId="0" applyFont="1" applyFill="1" applyBorder="1" applyAlignment="1">
      <alignment horizontal="center"/>
    </xf>
    <xf numFmtId="49" fontId="14" fillId="4" borderId="11" xfId="1" applyNumberFormat="1" applyFont="1" applyFill="1" applyBorder="1" applyAlignment="1">
      <alignment horizontal="center"/>
    </xf>
    <xf numFmtId="0" fontId="36" fillId="0" borderId="11" xfId="0" applyFont="1" applyBorder="1" applyAlignment="1">
      <alignment horizontal="center"/>
    </xf>
    <xf numFmtId="0" fontId="5" fillId="0" borderId="0" xfId="0" applyFont="1" applyAlignment="1">
      <alignment horizontal="center"/>
    </xf>
    <xf numFmtId="0" fontId="5" fillId="0" borderId="0" xfId="0" quotePrefix="1" applyFont="1" applyAlignment="1">
      <alignment horizontal="center"/>
    </xf>
    <xf numFmtId="0" fontId="6" fillId="0" borderId="0" xfId="0" quotePrefix="1" applyFont="1" applyAlignment="1">
      <alignment horizontal="left" vertical="distributed" wrapText="1"/>
    </xf>
    <xf numFmtId="0" fontId="6" fillId="0" borderId="0" xfId="0" applyFont="1" applyAlignment="1">
      <alignment horizontal="justify" vertical="distributed" wrapText="1"/>
    </xf>
    <xf numFmtId="0" fontId="5" fillId="0" borderId="0" xfId="0" applyFont="1" applyAlignment="1">
      <alignment horizontal="justify" vertical="distributed" wrapText="1"/>
    </xf>
    <xf numFmtId="0" fontId="27" fillId="0" borderId="0" xfId="0" applyFont="1" applyAlignment="1">
      <alignment horizontal="justify" vertical="justify" wrapText="1"/>
    </xf>
    <xf numFmtId="0" fontId="15" fillId="0" borderId="0" xfId="0" applyFont="1" applyAlignment="1">
      <alignment horizontal="left" vertical="distributed" wrapText="1"/>
    </xf>
    <xf numFmtId="0" fontId="25" fillId="0" borderId="0" xfId="0" applyFont="1" applyAlignment="1">
      <alignment horizontal="justify" vertical="center" wrapText="1"/>
    </xf>
    <xf numFmtId="0" fontId="25" fillId="0" borderId="0" xfId="0" applyFont="1" applyAlignment="1">
      <alignment horizontal="left" vertical="distributed" wrapText="1"/>
    </xf>
    <xf numFmtId="0" fontId="20" fillId="0" borderId="0" xfId="0" applyFont="1" applyAlignment="1">
      <alignment horizontal="center"/>
    </xf>
    <xf numFmtId="0" fontId="20" fillId="0" borderId="0" xfId="0" quotePrefix="1" applyFont="1" applyAlignment="1">
      <alignment horizontal="center"/>
    </xf>
    <xf numFmtId="0" fontId="20" fillId="0" borderId="40" xfId="0" applyFont="1" applyBorder="1" applyAlignment="1">
      <alignment horizontal="center"/>
    </xf>
    <xf numFmtId="0" fontId="20" fillId="0" borderId="0" xfId="0" applyFont="1" applyAlignment="1">
      <alignment horizontal="center" wrapText="1"/>
    </xf>
    <xf numFmtId="0" fontId="20" fillId="0" borderId="0" xfId="0" quotePrefix="1" applyFont="1" applyAlignment="1">
      <alignment horizontal="center" wrapText="1"/>
    </xf>
    <xf numFmtId="0" fontId="20" fillId="0" borderId="0" xfId="0" applyFont="1" applyAlignment="1">
      <alignment horizontal="center" vertical="center"/>
    </xf>
    <xf numFmtId="0" fontId="20" fillId="0" borderId="0" xfId="0" quotePrefix="1" applyFont="1" applyAlignment="1">
      <alignment horizontal="center" vertical="center"/>
    </xf>
    <xf numFmtId="0" fontId="20" fillId="0" borderId="0" xfId="0" applyFont="1" applyAlignment="1">
      <alignment horizontal="justify" vertical="distributed" wrapText="1"/>
    </xf>
    <xf numFmtId="0" fontId="27" fillId="0" borderId="0" xfId="0" quotePrefix="1" applyFont="1" applyAlignment="1">
      <alignment horizontal="justify" vertical="justify" wrapText="1"/>
    </xf>
    <xf numFmtId="0" fontId="27" fillId="0" borderId="0" xfId="0" quotePrefix="1" applyFont="1" applyAlignment="1">
      <alignment horizontal="justify" vertical="distributed" wrapText="1"/>
    </xf>
    <xf numFmtId="0" fontId="27" fillId="0" borderId="0" xfId="0" applyFont="1" applyAlignment="1">
      <alignment horizontal="justify" vertical="distributed" wrapText="1"/>
    </xf>
    <xf numFmtId="0" fontId="20" fillId="0" borderId="40" xfId="0" applyFont="1" applyBorder="1" applyAlignment="1">
      <alignment horizontal="center" wrapText="1"/>
    </xf>
    <xf numFmtId="0" fontId="20" fillId="0" borderId="40" xfId="0" applyFont="1" applyBorder="1" applyAlignment="1">
      <alignment horizontal="center" vertical="center"/>
    </xf>
    <xf numFmtId="0" fontId="27" fillId="0" borderId="0" xfId="0" quotePrefix="1" applyFont="1" applyAlignment="1">
      <alignment horizontal="justify" vertical="center" wrapText="1"/>
    </xf>
    <xf numFmtId="0" fontId="27" fillId="0" borderId="0" xfId="0" applyFont="1" applyAlignment="1">
      <alignment horizontal="justify" vertical="center" wrapText="1"/>
    </xf>
    <xf numFmtId="0" fontId="25" fillId="0" borderId="0" xfId="0" quotePrefix="1" applyFont="1" applyAlignment="1">
      <alignment horizontal="left" vertical="distributed" wrapText="1"/>
    </xf>
    <xf numFmtId="0" fontId="25" fillId="0" borderId="0" xfId="0" applyFont="1" applyAlignment="1">
      <alignment horizontal="justify" vertical="distributed" wrapText="1"/>
    </xf>
    <xf numFmtId="0" fontId="20" fillId="0" borderId="0" xfId="0" quotePrefix="1" applyFont="1" applyAlignment="1"/>
    <xf numFmtId="0" fontId="25" fillId="0" borderId="0" xfId="0" quotePrefix="1" applyFont="1" applyAlignment="1">
      <alignment horizontal="justify" vertical="distributed" wrapText="1"/>
    </xf>
    <xf numFmtId="0" fontId="20" fillId="0" borderId="0" xfId="0" applyFont="1" applyAlignment="1">
      <alignment horizontal="justify" vertical="justify" wrapText="1"/>
    </xf>
    <xf numFmtId="0" fontId="20" fillId="0" borderId="0" xfId="0" quotePrefix="1" applyFont="1" applyAlignment="1">
      <alignment horizontal="justify" vertical="justify" wrapText="1"/>
    </xf>
    <xf numFmtId="0" fontId="25" fillId="0" borderId="0" xfId="0" applyFont="1" applyAlignment="1">
      <alignment vertical="center" wrapText="1"/>
    </xf>
    <xf numFmtId="0" fontId="3" fillId="0" borderId="11" xfId="0" applyFont="1" applyBorder="1" applyAlignment="1">
      <alignment vertical="distributed"/>
    </xf>
    <xf numFmtId="164" fontId="3" fillId="0" borderId="52" xfId="0" applyNumberFormat="1" applyFont="1" applyBorder="1" applyAlignment="1">
      <alignment horizontal="center" vertical="distributed"/>
    </xf>
    <xf numFmtId="164" fontId="3" fillId="0" borderId="54" xfId="0" applyNumberFormat="1" applyFont="1" applyBorder="1" applyAlignment="1">
      <alignment horizontal="center" vertical="distributed"/>
    </xf>
    <xf numFmtId="0" fontId="15" fillId="6" borderId="11" xfId="0" applyFont="1" applyFill="1" applyBorder="1" applyAlignment="1">
      <alignment horizontal="center" vertical="distributed"/>
    </xf>
    <xf numFmtId="164" fontId="15" fillId="6" borderId="11" xfId="0" applyNumberFormat="1" applyFont="1" applyFill="1" applyBorder="1" applyAlignment="1">
      <alignment horizontal="center" vertical="distributed"/>
    </xf>
    <xf numFmtId="0" fontId="15" fillId="0" borderId="0" xfId="0" applyFont="1" applyAlignment="1">
      <alignment horizontal="justify" vertical="distributed" wrapText="1"/>
    </xf>
    <xf numFmtId="0" fontId="27" fillId="0" borderId="0" xfId="0" quotePrefix="1" applyFont="1" applyAlignment="1">
      <alignment horizontal="justify" vertical="distributed"/>
    </xf>
    <xf numFmtId="0" fontId="3" fillId="0" borderId="52" xfId="0" applyFont="1" applyBorder="1" applyAlignment="1">
      <alignment horizontal="left" vertical="distributed"/>
    </xf>
    <xf numFmtId="0" fontId="3" fillId="0" borderId="30" xfId="0" applyFont="1" applyBorder="1" applyAlignment="1">
      <alignment horizontal="left" vertical="distributed"/>
    </xf>
    <xf numFmtId="0" fontId="3" fillId="0" borderId="54" xfId="0" applyFont="1" applyBorder="1" applyAlignment="1">
      <alignment horizontal="left" vertical="distributed"/>
    </xf>
    <xf numFmtId="0" fontId="20" fillId="0" borderId="0" xfId="0" quotePrefix="1" applyFont="1" applyAlignment="1">
      <alignment horizontal="center" vertical="distributed"/>
    </xf>
    <xf numFmtId="0" fontId="20" fillId="0" borderId="0" xfId="0" applyFont="1" applyAlignment="1">
      <alignment horizontal="center" vertical="distributed"/>
    </xf>
    <xf numFmtId="0" fontId="130" fillId="19" borderId="174" xfId="0" quotePrefix="1" applyFont="1" applyFill="1" applyBorder="1" applyAlignment="1">
      <alignment horizontal="center" vertical="distributed"/>
    </xf>
    <xf numFmtId="0" fontId="130" fillId="19" borderId="174" xfId="0" applyFont="1" applyFill="1" applyBorder="1" applyAlignment="1">
      <alignment horizontal="center" vertical="distributed"/>
    </xf>
    <xf numFmtId="0" fontId="132" fillId="19" borderId="176" xfId="0" applyFont="1" applyFill="1" applyBorder="1" applyAlignment="1">
      <alignment horizontal="center" vertical="center"/>
    </xf>
    <xf numFmtId="0" fontId="132" fillId="19" borderId="178" xfId="0" applyFont="1" applyFill="1" applyBorder="1" applyAlignment="1">
      <alignment horizontal="center" vertical="center"/>
    </xf>
    <xf numFmtId="164" fontId="3" fillId="0" borderId="11" xfId="0" applyNumberFormat="1" applyFont="1" applyBorder="1" applyAlignment="1">
      <alignment horizontal="center" vertical="distributed"/>
    </xf>
    <xf numFmtId="0" fontId="3" fillId="0" borderId="11" xfId="0" applyFont="1" applyBorder="1" applyAlignment="1">
      <alignment horizontal="left" vertical="distributed"/>
    </xf>
    <xf numFmtId="164" fontId="3" fillId="0" borderId="11" xfId="0" quotePrefix="1" applyNumberFormat="1" applyFont="1" applyBorder="1" applyAlignment="1">
      <alignment horizontal="center" vertical="distributed"/>
    </xf>
    <xf numFmtId="0" fontId="132" fillId="19" borderId="176" xfId="0" applyFont="1" applyFill="1" applyBorder="1" applyAlignment="1">
      <alignment vertical="center"/>
    </xf>
    <xf numFmtId="0" fontId="132" fillId="19" borderId="178" xfId="0" applyFont="1" applyFill="1" applyBorder="1" applyAlignment="1">
      <alignment vertical="center"/>
    </xf>
    <xf numFmtId="0" fontId="3" fillId="0" borderId="28" xfId="0" applyFont="1" applyBorder="1" applyAlignment="1">
      <alignment horizontal="left" vertical="distributed"/>
    </xf>
    <xf numFmtId="164" fontId="3" fillId="0" borderId="28" xfId="0" quotePrefix="1" applyNumberFormat="1" applyFont="1" applyBorder="1" applyAlignment="1">
      <alignment horizontal="center" vertical="distributed"/>
    </xf>
    <xf numFmtId="164" fontId="3" fillId="0" borderId="28" xfId="0" applyNumberFormat="1" applyFont="1" applyBorder="1" applyAlignment="1">
      <alignment horizontal="center" vertical="distributed"/>
    </xf>
    <xf numFmtId="0" fontId="20" fillId="0" borderId="0" xfId="0" applyFont="1" applyAlignment="1">
      <alignment horizontal="justify" vertical="distributed"/>
    </xf>
    <xf numFmtId="0" fontId="174" fillId="0" borderId="0" xfId="0" applyFont="1" applyAlignment="1">
      <alignment horizontal="center" vertical="distributed"/>
    </xf>
    <xf numFmtId="0" fontId="27" fillId="0" borderId="0" xfId="0" quotePrefix="1" applyFont="1" applyAlignment="1">
      <alignment horizontal="left" vertical="distributed"/>
    </xf>
    <xf numFmtId="0" fontId="25" fillId="0" borderId="0" xfId="0" applyFont="1" applyAlignment="1">
      <alignment horizontal="left" vertical="distributed"/>
    </xf>
    <xf numFmtId="0" fontId="27" fillId="0" borderId="0" xfId="0" applyFont="1" applyAlignment="1">
      <alignment horizontal="left" vertical="distributed" wrapText="1"/>
    </xf>
    <xf numFmtId="0" fontId="20" fillId="0" borderId="0" xfId="0" applyFont="1" applyAlignment="1">
      <alignment horizontal="left" vertical="distributed" wrapText="1"/>
    </xf>
    <xf numFmtId="49" fontId="27" fillId="0" borderId="0" xfId="0" applyNumberFormat="1" applyFont="1" applyAlignment="1">
      <alignment horizontal="justify" vertical="justify" wrapText="1"/>
    </xf>
    <xf numFmtId="49" fontId="15" fillId="6" borderId="24" xfId="0" applyNumberFormat="1" applyFont="1" applyFill="1" applyBorder="1" applyAlignment="1">
      <alignment horizontal="center" vertical="center"/>
    </xf>
    <xf numFmtId="49" fontId="15" fillId="6" borderId="25" xfId="0" applyNumberFormat="1" applyFont="1" applyFill="1" applyBorder="1" applyAlignment="1">
      <alignment horizontal="center" vertical="center"/>
    </xf>
    <xf numFmtId="49" fontId="15" fillId="6" borderId="26" xfId="0" applyNumberFormat="1" applyFont="1" applyFill="1" applyBorder="1" applyAlignment="1">
      <alignment horizontal="center" vertical="center"/>
    </xf>
    <xf numFmtId="0" fontId="132" fillId="19" borderId="174" xfId="0" applyFont="1" applyFill="1" applyBorder="1" applyAlignment="1">
      <alignment horizontal="center"/>
    </xf>
    <xf numFmtId="49" fontId="0" fillId="0" borderId="22" xfId="0" applyNumberFormat="1" applyBorder="1" applyAlignment="1">
      <alignment horizontal="center"/>
    </xf>
    <xf numFmtId="49" fontId="0" fillId="0" borderId="0" xfId="0" applyNumberFormat="1" applyAlignment="1">
      <alignment horizontal="center"/>
    </xf>
    <xf numFmtId="0" fontId="20" fillId="0" borderId="22" xfId="0" applyFont="1" applyBorder="1" applyAlignment="1">
      <alignment horizontal="left"/>
    </xf>
    <xf numFmtId="0" fontId="20" fillId="0" borderId="23" xfId="0" applyFont="1" applyBorder="1" applyAlignment="1">
      <alignment horizontal="left"/>
    </xf>
    <xf numFmtId="0" fontId="20" fillId="0" borderId="22" xfId="0" applyFont="1" applyBorder="1" applyAlignment="1">
      <alignment horizontal="center"/>
    </xf>
    <xf numFmtId="0" fontId="20" fillId="0" borderId="0" xfId="0" applyFont="1" applyAlignment="1">
      <alignment horizontal="left"/>
    </xf>
    <xf numFmtId="0" fontId="132" fillId="19" borderId="174" xfId="0" applyFont="1" applyFill="1" applyBorder="1" applyAlignment="1">
      <alignment horizontal="center" vertical="center"/>
    </xf>
    <xf numFmtId="49" fontId="15" fillId="6" borderId="24" xfId="0" applyNumberFormat="1" applyFont="1" applyFill="1" applyBorder="1" applyAlignment="1">
      <alignment horizontal="center"/>
    </xf>
    <xf numFmtId="49" fontId="15" fillId="6" borderId="25" xfId="0" applyNumberFormat="1" applyFont="1" applyFill="1" applyBorder="1" applyAlignment="1">
      <alignment horizontal="center"/>
    </xf>
    <xf numFmtId="49" fontId="15" fillId="6" borderId="26" xfId="0" applyNumberFormat="1" applyFont="1" applyFill="1" applyBorder="1" applyAlignment="1">
      <alignment horizontal="center"/>
    </xf>
    <xf numFmtId="165" fontId="145" fillId="0" borderId="0" xfId="2" quotePrefix="1" applyFont="1" applyFill="1" applyAlignment="1">
      <alignment horizontal="center" vertical="center"/>
    </xf>
    <xf numFmtId="165" fontId="145" fillId="0" borderId="0" xfId="2" quotePrefix="1" applyFont="1" applyFill="1" applyAlignment="1">
      <alignment horizontal="center"/>
    </xf>
    <xf numFmtId="165" fontId="145" fillId="0" borderId="0" xfId="2" quotePrefix="1" applyFont="1" applyFill="1" applyAlignment="1" applyProtection="1">
      <alignment horizontal="center"/>
      <protection locked="0"/>
    </xf>
    <xf numFmtId="165" fontId="18" fillId="0" borderId="0" xfId="2" applyFont="1" applyFill="1" applyAlignment="1">
      <alignment horizontal="center"/>
    </xf>
    <xf numFmtId="49" fontId="132" fillId="19" borderId="174" xfId="0" applyNumberFormat="1" applyFont="1" applyFill="1" applyBorder="1" applyAlignment="1">
      <alignment horizontal="center"/>
    </xf>
    <xf numFmtId="166" fontId="169" fillId="19" borderId="174" xfId="3" applyFont="1" applyFill="1" applyBorder="1" applyAlignment="1">
      <alignment horizontal="center" vertical="center" wrapText="1"/>
    </xf>
    <xf numFmtId="166" fontId="169" fillId="19" borderId="181" xfId="3" applyFont="1" applyFill="1" applyBorder="1" applyAlignment="1">
      <alignment horizontal="center" vertical="center" wrapText="1"/>
    </xf>
    <xf numFmtId="165" fontId="169" fillId="19" borderId="174" xfId="2" applyFont="1" applyFill="1" applyBorder="1" applyAlignment="1">
      <alignment horizontal="center" vertical="center" textRotation="45"/>
    </xf>
    <xf numFmtId="165" fontId="169" fillId="19" borderId="181" xfId="2" applyFont="1" applyFill="1" applyBorder="1" applyAlignment="1">
      <alignment horizontal="center" vertical="center" textRotation="45"/>
    </xf>
    <xf numFmtId="4" fontId="42" fillId="6" borderId="11" xfId="2" applyNumberFormat="1" applyFont="1" applyFill="1" applyBorder="1" applyAlignment="1">
      <alignment horizontal="center" vertical="center"/>
    </xf>
    <xf numFmtId="165" fontId="25" fillId="0" borderId="0" xfId="2" quotePrefix="1" applyFont="1" applyFill="1" applyAlignment="1">
      <alignment horizontal="center" vertical="center"/>
    </xf>
    <xf numFmtId="165" fontId="25" fillId="0" borderId="0" xfId="2" applyFont="1" applyFill="1" applyAlignment="1">
      <alignment horizontal="center" vertical="center"/>
    </xf>
    <xf numFmtId="165" fontId="25" fillId="0" borderId="0" xfId="2" quotePrefix="1" applyFont="1" applyFill="1" applyAlignment="1" applyProtection="1">
      <alignment horizontal="center" vertical="center"/>
      <protection locked="0"/>
    </xf>
    <xf numFmtId="165" fontId="25" fillId="0" borderId="0" xfId="2" applyFont="1" applyFill="1" applyAlignment="1" applyProtection="1">
      <alignment horizontal="center" vertical="center"/>
      <protection locked="0"/>
    </xf>
    <xf numFmtId="165" fontId="170" fillId="19" borderId="174" xfId="2" applyFont="1" applyFill="1" applyBorder="1" applyAlignment="1">
      <alignment horizontal="center" vertical="center"/>
    </xf>
    <xf numFmtId="165" fontId="129" fillId="19" borderId="174" xfId="2" applyFont="1" applyFill="1" applyBorder="1" applyAlignment="1">
      <alignment horizontal="center" vertical="center" wrapText="1"/>
    </xf>
    <xf numFmtId="165" fontId="25" fillId="0" borderId="0" xfId="2" applyFont="1" applyFill="1" applyBorder="1" applyAlignment="1">
      <alignment horizontal="center" vertical="center"/>
    </xf>
    <xf numFmtId="165" fontId="169" fillId="19" borderId="174" xfId="2" applyFont="1" applyFill="1" applyBorder="1" applyAlignment="1">
      <alignment horizontal="center" vertical="center" textRotation="90" wrapText="1"/>
    </xf>
    <xf numFmtId="165" fontId="169" fillId="19" borderId="181" xfId="2" applyFont="1" applyFill="1" applyBorder="1" applyAlignment="1">
      <alignment horizontal="center" vertical="center" textRotation="90" wrapText="1"/>
    </xf>
    <xf numFmtId="166" fontId="169" fillId="19" borderId="174" xfId="3" applyFont="1" applyFill="1" applyBorder="1" applyAlignment="1">
      <alignment horizontal="center" textRotation="90" wrapText="1"/>
    </xf>
    <xf numFmtId="166" fontId="169" fillId="19" borderId="181" xfId="3" applyFont="1" applyFill="1" applyBorder="1" applyAlignment="1">
      <alignment horizontal="center" textRotation="90" wrapText="1"/>
    </xf>
    <xf numFmtId="166" fontId="129" fillId="19" borderId="174" xfId="3" applyFont="1" applyFill="1" applyBorder="1" applyAlignment="1" applyProtection="1">
      <alignment horizontal="center" vertical="center" textRotation="44" wrapText="1"/>
      <protection locked="0" hidden="1"/>
    </xf>
    <xf numFmtId="166" fontId="129" fillId="19" borderId="181" xfId="3" applyFont="1" applyFill="1" applyBorder="1" applyAlignment="1" applyProtection="1">
      <alignment horizontal="center" vertical="center" textRotation="44" wrapText="1"/>
      <protection locked="0" hidden="1"/>
    </xf>
    <xf numFmtId="0" fontId="187" fillId="6" borderId="0" xfId="0" applyFont="1" applyFill="1" applyAlignment="1">
      <alignment horizontal="center" vertical="center" wrapText="1"/>
    </xf>
    <xf numFmtId="0" fontId="139" fillId="19" borderId="176" xfId="0" applyFont="1" applyFill="1" applyBorder="1" applyAlignment="1">
      <alignment horizontal="center" vertical="center"/>
    </xf>
    <xf numFmtId="0" fontId="139" fillId="19" borderId="177" xfId="0" applyFont="1" applyFill="1" applyBorder="1" applyAlignment="1">
      <alignment horizontal="center" vertical="center"/>
    </xf>
    <xf numFmtId="0" fontId="139" fillId="19" borderId="178" xfId="0" applyFont="1" applyFill="1" applyBorder="1" applyAlignment="1">
      <alignment horizontal="center" vertical="center"/>
    </xf>
    <xf numFmtId="0" fontId="139" fillId="19" borderId="174" xfId="0" applyFont="1" applyFill="1" applyBorder="1" applyAlignment="1" applyProtection="1">
      <alignment horizontal="center" vertical="center" textRotation="90" wrapText="1"/>
      <protection locked="0" hidden="1"/>
    </xf>
    <xf numFmtId="0" fontId="139" fillId="19" borderId="174" xfId="0" applyFont="1" applyFill="1" applyBorder="1"/>
    <xf numFmtId="0" fontId="90" fillId="0" borderId="0" xfId="0" quotePrefix="1" applyFont="1" applyAlignment="1">
      <alignment horizontal="center"/>
    </xf>
    <xf numFmtId="0" fontId="190" fillId="0" borderId="0" xfId="0" quotePrefix="1" applyFont="1" applyAlignment="1">
      <alignment horizontal="center"/>
    </xf>
    <xf numFmtId="0" fontId="190" fillId="0" borderId="0" xfId="0" applyFont="1" applyAlignment="1">
      <alignment horizontal="center"/>
    </xf>
    <xf numFmtId="0" fontId="149" fillId="0" borderId="0" xfId="0" applyFont="1" applyAlignment="1">
      <alignment horizontal="center" vertical="center"/>
    </xf>
    <xf numFmtId="0" fontId="182" fillId="19" borderId="181" xfId="0" applyFont="1" applyFill="1" applyBorder="1" applyAlignment="1">
      <alignment horizontal="center" textRotation="90" wrapText="1"/>
    </xf>
    <xf numFmtId="0" fontId="182" fillId="19" borderId="182" xfId="0" applyFont="1" applyFill="1" applyBorder="1" applyAlignment="1">
      <alignment horizontal="center" textRotation="90" wrapText="1"/>
    </xf>
    <xf numFmtId="0" fontId="195" fillId="6" borderId="11" xfId="0" applyFont="1" applyFill="1" applyBorder="1" applyAlignment="1">
      <alignment horizontal="center" vertical="center" wrapText="1"/>
    </xf>
    <xf numFmtId="0" fontId="112" fillId="0" borderId="0" xfId="0" quotePrefix="1" applyFont="1" applyAlignment="1">
      <alignment horizontal="center"/>
    </xf>
    <xf numFmtId="168" fontId="51" fillId="0" borderId="162" xfId="0" applyNumberFormat="1" applyFont="1" applyBorder="1" applyAlignment="1">
      <alignment horizontal="center"/>
    </xf>
    <xf numFmtId="168" fontId="51" fillId="0" borderId="93" xfId="0" applyNumberFormat="1" applyFont="1" applyBorder="1" applyAlignment="1">
      <alignment horizontal="center"/>
    </xf>
    <xf numFmtId="0" fontId="103" fillId="0" borderId="0" xfId="0" applyFont="1" applyAlignment="1">
      <alignment horizontal="center" vertical="center"/>
    </xf>
    <xf numFmtId="0" fontId="113" fillId="0" borderId="170" xfId="0" applyFont="1" applyBorder="1" applyAlignment="1">
      <alignment horizontal="center" vertical="center"/>
    </xf>
    <xf numFmtId="0" fontId="55" fillId="10" borderId="143" xfId="0" applyFont="1" applyFill="1" applyBorder="1" applyAlignment="1">
      <alignment horizontal="center" vertical="center"/>
    </xf>
    <xf numFmtId="0" fontId="55" fillId="10" borderId="156" xfId="0" applyFont="1" applyFill="1" applyBorder="1" applyAlignment="1">
      <alignment horizontal="center" vertical="center"/>
    </xf>
    <xf numFmtId="0" fontId="55" fillId="10" borderId="169" xfId="0" applyFont="1" applyFill="1" applyBorder="1" applyAlignment="1">
      <alignment horizontal="center" vertical="center"/>
    </xf>
    <xf numFmtId="0" fontId="112" fillId="0" borderId="0" xfId="0" applyFont="1" applyAlignment="1">
      <alignment horizontal="center"/>
    </xf>
    <xf numFmtId="166" fontId="51" fillId="0" borderId="163" xfId="3" applyFont="1" applyFill="1" applyBorder="1" applyAlignment="1">
      <alignment horizontal="center"/>
    </xf>
    <xf numFmtId="166" fontId="51" fillId="0" borderId="164" xfId="3" applyFont="1" applyFill="1" applyBorder="1" applyAlignment="1">
      <alignment horizontal="center"/>
    </xf>
    <xf numFmtId="166" fontId="48" fillId="0" borderId="165" xfId="3" applyFont="1" applyFill="1" applyBorder="1" applyAlignment="1">
      <alignment horizontal="left"/>
    </xf>
    <xf numFmtId="166" fontId="48" fillId="0" borderId="166" xfId="3" applyFont="1" applyFill="1" applyBorder="1" applyAlignment="1">
      <alignment horizontal="left"/>
    </xf>
    <xf numFmtId="166" fontId="48" fillId="0" borderId="167" xfId="3" applyFont="1" applyFill="1" applyBorder="1" applyAlignment="1">
      <alignment horizontal="left"/>
    </xf>
    <xf numFmtId="0" fontId="48" fillId="0" borderId="107" xfId="0" applyFont="1" applyBorder="1" applyAlignment="1">
      <alignment horizontal="left"/>
    </xf>
    <xf numFmtId="0" fontId="48" fillId="0" borderId="88" xfId="0" applyFont="1" applyBorder="1" applyAlignment="1">
      <alignment horizontal="left"/>
    </xf>
    <xf numFmtId="0" fontId="48" fillId="0" borderId="87" xfId="0" applyFont="1" applyBorder="1" applyAlignment="1">
      <alignment horizontal="left"/>
    </xf>
    <xf numFmtId="168" fontId="51" fillId="8" borderId="161" xfId="0" applyNumberFormat="1" applyFont="1" applyFill="1" applyBorder="1" applyAlignment="1">
      <alignment horizontal="center"/>
    </xf>
    <xf numFmtId="168" fontId="51" fillId="8" borderId="98" xfId="0" applyNumberFormat="1" applyFont="1" applyFill="1" applyBorder="1" applyAlignment="1">
      <alignment horizontal="center"/>
    </xf>
    <xf numFmtId="168" fontId="51" fillId="0" borderId="160" xfId="0" applyNumberFormat="1" applyFont="1" applyBorder="1" applyAlignment="1">
      <alignment horizontal="center"/>
    </xf>
    <xf numFmtId="0" fontId="52" fillId="8" borderId="136" xfId="0" applyFont="1" applyFill="1" applyBorder="1" applyAlignment="1" applyProtection="1">
      <alignment horizontal="center" vertical="center" textRotation="90" wrapText="1"/>
      <protection locked="0" hidden="1"/>
    </xf>
    <xf numFmtId="0" fontId="52" fillId="8" borderId="168" xfId="0" applyFont="1" applyFill="1" applyBorder="1" applyAlignment="1" applyProtection="1">
      <alignment horizontal="center" vertical="center" textRotation="90" wrapText="1"/>
      <protection locked="0" hidden="1"/>
    </xf>
    <xf numFmtId="0" fontId="48" fillId="8" borderId="101" xfId="0" applyFont="1" applyFill="1" applyBorder="1" applyAlignment="1">
      <alignment horizontal="left"/>
    </xf>
    <xf numFmtId="0" fontId="48" fillId="8" borderId="102" xfId="0" applyFont="1" applyFill="1" applyBorder="1" applyAlignment="1">
      <alignment horizontal="left"/>
    </xf>
    <xf numFmtId="0" fontId="48" fillId="8" borderId="104" xfId="0" applyFont="1" applyFill="1" applyBorder="1" applyAlignment="1">
      <alignment horizontal="left"/>
    </xf>
    <xf numFmtId="0" fontId="146" fillId="19" borderId="189" xfId="0" applyFont="1" applyFill="1" applyBorder="1" applyAlignment="1">
      <alignment horizontal="center" vertical="center" wrapText="1"/>
    </xf>
    <xf numFmtId="0" fontId="146" fillId="19" borderId="180" xfId="0" applyFont="1" applyFill="1" applyBorder="1" applyAlignment="1">
      <alignment horizontal="center" vertical="center" wrapText="1"/>
    </xf>
    <xf numFmtId="0" fontId="149" fillId="0" borderId="0" xfId="0" quotePrefix="1" applyFont="1" applyAlignment="1">
      <alignment horizontal="center"/>
    </xf>
    <xf numFmtId="0" fontId="149" fillId="0" borderId="0" xfId="0" applyFont="1" applyAlignment="1">
      <alignment horizontal="center"/>
    </xf>
    <xf numFmtId="0" fontId="14" fillId="0" borderId="52" xfId="0" applyFont="1" applyBorder="1" applyAlignment="1">
      <alignment horizontal="center"/>
    </xf>
    <xf numFmtId="0" fontId="14" fillId="0" borderId="30" xfId="0" applyFont="1" applyBorder="1" applyAlignment="1">
      <alignment horizontal="center"/>
    </xf>
    <xf numFmtId="0" fontId="14" fillId="0" borderId="54" xfId="0" applyFont="1" applyBorder="1" applyAlignment="1">
      <alignment horizontal="center"/>
    </xf>
    <xf numFmtId="0" fontId="27" fillId="0" borderId="52" xfId="0" applyFont="1" applyBorder="1" applyAlignment="1">
      <alignment horizontal="center"/>
    </xf>
    <xf numFmtId="0" fontId="27" fillId="0" borderId="30" xfId="0" applyFont="1" applyBorder="1" applyAlignment="1">
      <alignment horizontal="center"/>
    </xf>
    <xf numFmtId="0" fontId="27" fillId="0" borderId="54" xfId="0" applyFont="1" applyBorder="1" applyAlignment="1">
      <alignment horizontal="center"/>
    </xf>
    <xf numFmtId="166" fontId="25" fillId="0" borderId="70" xfId="3" applyFont="1" applyFill="1" applyBorder="1" applyAlignment="1">
      <alignment horizontal="center"/>
    </xf>
    <xf numFmtId="166" fontId="25" fillId="0" borderId="68" xfId="3" applyFont="1" applyFill="1" applyBorder="1" applyAlignment="1">
      <alignment horizontal="center"/>
    </xf>
    <xf numFmtId="0" fontId="15" fillId="0" borderId="52" xfId="0" applyFont="1" applyBorder="1" applyAlignment="1">
      <alignment horizontal="center"/>
    </xf>
    <xf numFmtId="0" fontId="15" fillId="0" borderId="30" xfId="0" applyFont="1" applyBorder="1" applyAlignment="1">
      <alignment horizontal="center"/>
    </xf>
    <xf numFmtId="0" fontId="15" fillId="0" borderId="54" xfId="0" applyFont="1" applyBorder="1" applyAlignment="1">
      <alignment horizontal="center"/>
    </xf>
    <xf numFmtId="0" fontId="146" fillId="19" borderId="176" xfId="0" applyFont="1" applyFill="1" applyBorder="1" applyAlignment="1">
      <alignment horizontal="center"/>
    </xf>
    <xf numFmtId="0" fontId="146" fillId="19" borderId="177" xfId="0" applyFont="1" applyFill="1" applyBorder="1" applyAlignment="1">
      <alignment horizontal="center"/>
    </xf>
    <xf numFmtId="0" fontId="146" fillId="19" borderId="178" xfId="0" applyFont="1" applyFill="1" applyBorder="1" applyAlignment="1">
      <alignment horizontal="center"/>
    </xf>
    <xf numFmtId="49" fontId="27" fillId="4" borderId="53" xfId="4" applyNumberFormat="1" applyFont="1" applyFill="1" applyBorder="1" applyAlignment="1">
      <alignment horizontal="center"/>
    </xf>
    <xf numFmtId="49" fontId="27" fillId="4" borderId="38" xfId="4" applyNumberFormat="1" applyFont="1" applyFill="1" applyBorder="1" applyAlignment="1">
      <alignment horizontal="center"/>
    </xf>
    <xf numFmtId="49" fontId="27" fillId="4" borderId="38" xfId="4" applyNumberFormat="1" applyFont="1" applyFill="1" applyBorder="1" applyAlignment="1">
      <alignment horizontal="left" wrapText="1"/>
    </xf>
    <xf numFmtId="0" fontId="27" fillId="0" borderId="50" xfId="0" applyFont="1" applyBorder="1" applyAlignment="1">
      <alignment horizontal="center"/>
    </xf>
    <xf numFmtId="0" fontId="27" fillId="0" borderId="0" xfId="0" applyFont="1" applyAlignment="1">
      <alignment horizontal="center"/>
    </xf>
    <xf numFmtId="166" fontId="27" fillId="0" borderId="50" xfId="3" applyFont="1" applyFill="1" applyBorder="1" applyAlignment="1">
      <alignment horizontal="center" vertical="center"/>
    </xf>
    <xf numFmtId="166" fontId="27" fillId="0" borderId="0" xfId="3" applyFont="1" applyFill="1" applyBorder="1" applyAlignment="1">
      <alignment horizontal="center" vertical="center"/>
    </xf>
    <xf numFmtId="166" fontId="27" fillId="0" borderId="53" xfId="3" applyFont="1" applyFill="1" applyBorder="1" applyAlignment="1">
      <alignment horizontal="center"/>
    </xf>
    <xf numFmtId="166" fontId="27" fillId="0" borderId="38" xfId="3" applyFont="1" applyFill="1" applyBorder="1" applyAlignment="1">
      <alignment horizontal="center"/>
    </xf>
    <xf numFmtId="0" fontId="27" fillId="0" borderId="0" xfId="0" applyFont="1" applyAlignment="1">
      <alignment horizontal="center" vertical="center"/>
    </xf>
    <xf numFmtId="0" fontId="27" fillId="0" borderId="0" xfId="0" applyFont="1" applyAlignment="1">
      <alignment horizontal="left"/>
    </xf>
    <xf numFmtId="0" fontId="3" fillId="0" borderId="52" xfId="0" applyFont="1" applyBorder="1" applyAlignment="1">
      <alignment horizontal="justify" vertical="center" wrapText="1"/>
    </xf>
    <xf numFmtId="0" fontId="14" fillId="0" borderId="54" xfId="0" applyFont="1" applyBorder="1" applyAlignment="1">
      <alignment horizontal="justify" vertical="center" wrapText="1"/>
    </xf>
    <xf numFmtId="166" fontId="146" fillId="19" borderId="176" xfId="3" applyFont="1" applyFill="1" applyBorder="1" applyAlignment="1">
      <alignment horizontal="center"/>
    </xf>
    <xf numFmtId="166" fontId="146" fillId="19" borderId="177" xfId="3" applyFont="1" applyFill="1" applyBorder="1" applyAlignment="1">
      <alignment horizontal="center"/>
    </xf>
    <xf numFmtId="166" fontId="146" fillId="19" borderId="178" xfId="3" applyFont="1" applyFill="1" applyBorder="1" applyAlignment="1">
      <alignment horizontal="center"/>
    </xf>
    <xf numFmtId="0" fontId="27" fillId="0" borderId="52" xfId="0" applyFont="1" applyBorder="1" applyAlignment="1">
      <alignment horizontal="left"/>
    </xf>
    <xf numFmtId="0" fontId="27" fillId="0" borderId="30" xfId="0" applyFont="1" applyBorder="1" applyAlignment="1">
      <alignment horizontal="left"/>
    </xf>
    <xf numFmtId="0" fontId="27" fillId="0" borderId="54" xfId="0" applyFont="1" applyBorder="1" applyAlignment="1">
      <alignment horizontal="left"/>
    </xf>
    <xf numFmtId="0" fontId="27" fillId="0" borderId="52" xfId="0" applyFont="1" applyBorder="1" applyAlignment="1">
      <alignment horizontal="left" wrapText="1"/>
    </xf>
    <xf numFmtId="0" fontId="27" fillId="0" borderId="30" xfId="0" applyFont="1" applyBorder="1" applyAlignment="1">
      <alignment horizontal="left" wrapText="1"/>
    </xf>
    <xf numFmtId="0" fontId="27" fillId="0" borderId="54" xfId="0" applyFont="1" applyBorder="1" applyAlignment="1">
      <alignment horizontal="left" wrapText="1"/>
    </xf>
    <xf numFmtId="0" fontId="20" fillId="6" borderId="11" xfId="0" applyFont="1" applyFill="1" applyBorder="1" applyAlignment="1">
      <alignment horizontal="center"/>
    </xf>
    <xf numFmtId="0" fontId="25" fillId="0" borderId="11" xfId="0" applyFont="1" applyBorder="1" applyAlignment="1">
      <alignment horizontal="center" vertical="center"/>
    </xf>
    <xf numFmtId="0" fontId="130" fillId="19" borderId="189" xfId="0" applyFont="1" applyFill="1" applyBorder="1" applyAlignment="1">
      <alignment horizontal="center" vertical="center" wrapText="1"/>
    </xf>
    <xf numFmtId="0" fontId="130" fillId="19" borderId="180" xfId="0" applyFont="1" applyFill="1" applyBorder="1" applyAlignment="1">
      <alignment horizontal="center" vertical="center" wrapText="1"/>
    </xf>
    <xf numFmtId="0" fontId="130" fillId="19" borderId="190" xfId="0" applyFont="1" applyFill="1" applyBorder="1" applyAlignment="1">
      <alignment horizontal="center" vertical="center" wrapText="1"/>
    </xf>
    <xf numFmtId="0" fontId="130" fillId="19" borderId="176" xfId="0" applyFont="1" applyFill="1" applyBorder="1" applyAlignment="1">
      <alignment horizontal="center" vertical="center"/>
    </xf>
    <xf numFmtId="0" fontId="130" fillId="19" borderId="177" xfId="0" applyFont="1" applyFill="1" applyBorder="1" applyAlignment="1">
      <alignment horizontal="center" vertical="center"/>
    </xf>
    <xf numFmtId="0" fontId="130" fillId="19" borderId="178" xfId="0" applyFont="1" applyFill="1" applyBorder="1" applyAlignment="1">
      <alignment horizontal="center" vertical="center"/>
    </xf>
    <xf numFmtId="0" fontId="3" fillId="0" borderId="53" xfId="0" applyFont="1" applyBorder="1" applyAlignment="1">
      <alignment horizontal="justify" vertical="center"/>
    </xf>
    <xf numFmtId="0" fontId="14" fillId="0" borderId="58" xfId="0" applyFont="1" applyBorder="1" applyAlignment="1">
      <alignment horizontal="justify" vertical="center"/>
    </xf>
    <xf numFmtId="0" fontId="130" fillId="19" borderId="176" xfId="0" applyFont="1" applyFill="1" applyBorder="1" applyAlignment="1">
      <alignment horizontal="center" vertical="center" wrapText="1"/>
    </xf>
    <xf numFmtId="0" fontId="130" fillId="19" borderId="177" xfId="0" applyFont="1" applyFill="1" applyBorder="1" applyAlignment="1">
      <alignment horizontal="center" vertical="center" wrapText="1"/>
    </xf>
    <xf numFmtId="0" fontId="130" fillId="19" borderId="178" xfId="0" applyFont="1" applyFill="1" applyBorder="1" applyAlignment="1">
      <alignment horizontal="center" vertical="center" wrapText="1"/>
    </xf>
    <xf numFmtId="0" fontId="130" fillId="19" borderId="52" xfId="0" applyFont="1" applyFill="1" applyBorder="1" applyAlignment="1">
      <alignment horizontal="center"/>
    </xf>
    <xf numFmtId="0" fontId="130" fillId="19" borderId="30" xfId="0" applyFont="1" applyFill="1" applyBorder="1" applyAlignment="1">
      <alignment horizontal="center"/>
    </xf>
    <xf numFmtId="0" fontId="130" fillId="19" borderId="174" xfId="0" applyFont="1" applyFill="1" applyBorder="1" applyAlignment="1">
      <alignment horizontal="center"/>
    </xf>
    <xf numFmtId="0" fontId="130" fillId="19" borderId="189" xfId="0" applyFont="1" applyFill="1" applyBorder="1" applyAlignment="1">
      <alignment horizontal="center" vertical="center"/>
    </xf>
    <xf numFmtId="0" fontId="130" fillId="19" borderId="180" xfId="0" applyFont="1" applyFill="1" applyBorder="1" applyAlignment="1">
      <alignment horizontal="center" vertical="center"/>
    </xf>
    <xf numFmtId="0" fontId="130" fillId="19" borderId="174" xfId="0" applyFont="1" applyFill="1" applyBorder="1" applyAlignment="1">
      <alignment horizontal="center" vertical="center"/>
    </xf>
    <xf numFmtId="0" fontId="129" fillId="19" borderId="174" xfId="0" applyFont="1" applyFill="1" applyBorder="1" applyAlignment="1">
      <alignment horizontal="center" vertical="center" wrapText="1"/>
    </xf>
    <xf numFmtId="0" fontId="130" fillId="19" borderId="174" xfId="0" applyFont="1" applyFill="1" applyBorder="1" applyAlignment="1">
      <alignment horizontal="center" vertical="center" wrapText="1"/>
    </xf>
    <xf numFmtId="0" fontId="150" fillId="19" borderId="174" xfId="0" applyFont="1" applyFill="1" applyBorder="1" applyAlignment="1">
      <alignment horizontal="center" vertical="center" wrapText="1"/>
    </xf>
    <xf numFmtId="0" fontId="130" fillId="19" borderId="181" xfId="0" applyFont="1" applyFill="1" applyBorder="1" applyAlignment="1">
      <alignment horizontal="center" vertical="center" wrapText="1"/>
    </xf>
    <xf numFmtId="0" fontId="130" fillId="19" borderId="175" xfId="0" applyFont="1" applyFill="1" applyBorder="1" applyAlignment="1">
      <alignment horizontal="center" vertical="center" wrapText="1"/>
    </xf>
    <xf numFmtId="0" fontId="104" fillId="6" borderId="11" xfId="0" applyFont="1" applyFill="1" applyBorder="1" applyAlignment="1">
      <alignment horizontal="center"/>
    </xf>
    <xf numFmtId="0" fontId="24" fillId="6" borderId="11" xfId="0" applyFont="1" applyFill="1" applyBorder="1" applyAlignment="1">
      <alignment horizontal="center"/>
    </xf>
    <xf numFmtId="0" fontId="151" fillId="19" borderId="174" xfId="0" quotePrefix="1" applyFont="1" applyFill="1" applyBorder="1" applyAlignment="1">
      <alignment horizontal="left"/>
    </xf>
    <xf numFmtId="0" fontId="151" fillId="19" borderId="174" xfId="0" applyFont="1" applyFill="1" applyBorder="1" applyAlignment="1">
      <alignment horizontal="left"/>
    </xf>
    <xf numFmtId="0" fontId="142" fillId="19" borderId="174" xfId="0" applyFont="1" applyFill="1" applyBorder="1" applyAlignment="1">
      <alignment horizontal="center"/>
    </xf>
    <xf numFmtId="0" fontId="148" fillId="19" borderId="174" xfId="0" applyFont="1" applyFill="1" applyBorder="1" applyAlignment="1">
      <alignment horizontal="center" vertical="center" wrapText="1"/>
    </xf>
    <xf numFmtId="0" fontId="148" fillId="19" borderId="181" xfId="0" applyFont="1" applyFill="1" applyBorder="1" applyAlignment="1">
      <alignment horizontal="center" vertical="center" wrapText="1"/>
    </xf>
    <xf numFmtId="0" fontId="142" fillId="19" borderId="174" xfId="0" applyFont="1" applyFill="1" applyBorder="1" applyAlignment="1" applyProtection="1">
      <alignment horizontal="center" vertical="center" textRotation="90" wrapText="1"/>
      <protection locked="0" hidden="1"/>
    </xf>
    <xf numFmtId="0" fontId="142" fillId="19" borderId="181" xfId="0" applyFont="1" applyFill="1" applyBorder="1" applyAlignment="1" applyProtection="1">
      <alignment horizontal="center" vertical="center" textRotation="90" wrapText="1"/>
      <protection locked="0" hidden="1"/>
    </xf>
    <xf numFmtId="0" fontId="151" fillId="19" borderId="174" xfId="0" applyFont="1" applyFill="1" applyBorder="1" applyAlignment="1">
      <alignment horizontal="center" vertical="center" wrapText="1"/>
    </xf>
    <xf numFmtId="0" fontId="6" fillId="0" borderId="0" xfId="0" quotePrefix="1" applyFont="1" applyAlignment="1">
      <alignment horizontal="center"/>
    </xf>
    <xf numFmtId="0" fontId="6" fillId="0" borderId="0" xfId="0" applyFont="1" applyAlignment="1">
      <alignment horizontal="center"/>
    </xf>
    <xf numFmtId="0" fontId="16" fillId="0" borderId="0" xfId="0" applyFont="1" applyAlignment="1">
      <alignment horizontal="center"/>
    </xf>
    <xf numFmtId="0" fontId="16" fillId="2" borderId="0" xfId="0" applyFont="1" applyFill="1" applyAlignment="1">
      <alignment horizontal="left"/>
    </xf>
    <xf numFmtId="0" fontId="17" fillId="0" borderId="0" xfId="0" applyFont="1" applyAlignment="1">
      <alignment horizontal="left"/>
    </xf>
    <xf numFmtId="0" fontId="25" fillId="6" borderId="68" xfId="0" applyFont="1" applyFill="1" applyBorder="1" applyAlignment="1">
      <alignment horizontal="center" vertical="center"/>
    </xf>
    <xf numFmtId="0" fontId="25" fillId="6" borderId="74" xfId="0" applyFont="1" applyFill="1" applyBorder="1" applyAlignment="1">
      <alignment horizontal="center" vertical="center"/>
    </xf>
    <xf numFmtId="0" fontId="11" fillId="0" borderId="0" xfId="0" applyFont="1" applyAlignment="1">
      <alignment horizontal="center"/>
    </xf>
    <xf numFmtId="0" fontId="136" fillId="19" borderId="174" xfId="0" applyFont="1" applyFill="1" applyBorder="1" applyAlignment="1">
      <alignment horizontal="center" vertical="center" wrapText="1"/>
    </xf>
    <xf numFmtId="0" fontId="143" fillId="19" borderId="174" xfId="0" quotePrefix="1" applyFont="1" applyFill="1" applyBorder="1" applyAlignment="1">
      <alignment horizontal="left" wrapText="1"/>
    </xf>
    <xf numFmtId="0" fontId="143" fillId="19" borderId="174" xfId="0" applyFont="1" applyFill="1" applyBorder="1" applyAlignment="1">
      <alignment horizontal="left" wrapText="1"/>
    </xf>
    <xf numFmtId="0" fontId="143" fillId="19" borderId="174" xfId="0" applyFont="1" applyFill="1" applyBorder="1" applyAlignment="1">
      <alignment horizontal="center"/>
    </xf>
    <xf numFmtId="0" fontId="144" fillId="19" borderId="174" xfId="0" applyFont="1" applyFill="1" applyBorder="1" applyAlignment="1">
      <alignment horizontal="center" vertical="center" wrapText="1"/>
    </xf>
    <xf numFmtId="0" fontId="144" fillId="19" borderId="174" xfId="0" applyFont="1" applyFill="1" applyBorder="1" applyAlignment="1" applyProtection="1">
      <alignment horizontal="center" vertical="center" textRotation="90" wrapText="1"/>
      <protection locked="0" hidden="1"/>
    </xf>
    <xf numFmtId="4" fontId="24" fillId="6" borderId="52" xfId="1" applyNumberFormat="1" applyFont="1" applyFill="1" applyBorder="1" applyAlignment="1">
      <alignment horizontal="center"/>
    </xf>
    <xf numFmtId="4" fontId="24" fillId="6" borderId="30" xfId="1" applyNumberFormat="1" applyFont="1" applyFill="1" applyBorder="1" applyAlignment="1">
      <alignment horizontal="center"/>
    </xf>
    <xf numFmtId="4" fontId="24" fillId="6" borderId="54" xfId="1" applyNumberFormat="1" applyFont="1" applyFill="1" applyBorder="1" applyAlignment="1">
      <alignment horizontal="center"/>
    </xf>
    <xf numFmtId="4" fontId="140" fillId="6" borderId="11" xfId="1" applyNumberFormat="1" applyFont="1" applyFill="1" applyBorder="1" applyAlignment="1">
      <alignment horizontal="center" vertical="center"/>
    </xf>
    <xf numFmtId="0" fontId="136" fillId="19" borderId="174" xfId="0" quotePrefix="1" applyFont="1" applyFill="1" applyBorder="1" applyAlignment="1">
      <alignment horizontal="left"/>
    </xf>
    <xf numFmtId="0" fontId="136" fillId="19" borderId="174" xfId="0" applyFont="1" applyFill="1" applyBorder="1" applyAlignment="1">
      <alignment horizontal="left"/>
    </xf>
    <xf numFmtId="0" fontId="138" fillId="19" borderId="174" xfId="0" applyFont="1" applyFill="1" applyBorder="1" applyAlignment="1">
      <alignment horizontal="center"/>
    </xf>
    <xf numFmtId="0" fontId="136" fillId="19" borderId="181" xfId="0" applyFont="1" applyFill="1" applyBorder="1" applyAlignment="1">
      <alignment horizontal="center" vertical="center" wrapText="1"/>
    </xf>
    <xf numFmtId="168" fontId="136" fillId="19" borderId="174" xfId="0" applyNumberFormat="1" applyFont="1" applyFill="1" applyBorder="1" applyAlignment="1" applyProtection="1">
      <alignment horizontal="center" vertical="center" textRotation="90" wrapText="1"/>
      <protection locked="0" hidden="1"/>
    </xf>
    <xf numFmtId="168" fontId="136" fillId="19" borderId="181" xfId="0" applyNumberFormat="1" applyFont="1" applyFill="1" applyBorder="1" applyAlignment="1" applyProtection="1">
      <alignment horizontal="center" vertical="center" textRotation="90" wrapText="1"/>
      <protection locked="0" hidden="1"/>
    </xf>
    <xf numFmtId="0" fontId="39" fillId="0" borderId="0" xfId="0" quotePrefix="1" applyFont="1" applyAlignment="1">
      <alignment horizontal="center"/>
    </xf>
    <xf numFmtId="0" fontId="39" fillId="0" borderId="0" xfId="0" applyFont="1" applyAlignment="1">
      <alignment horizontal="center"/>
    </xf>
    <xf numFmtId="0" fontId="39" fillId="4" borderId="52" xfId="0" applyFont="1" applyFill="1" applyBorder="1" applyAlignment="1">
      <alignment horizontal="center"/>
    </xf>
    <xf numFmtId="0" fontId="39" fillId="4" borderId="30" xfId="0" applyFont="1" applyFill="1" applyBorder="1" applyAlignment="1">
      <alignment horizontal="center"/>
    </xf>
    <xf numFmtId="0" fontId="39" fillId="4" borderId="54" xfId="0" applyFont="1" applyFill="1" applyBorder="1" applyAlignment="1">
      <alignment horizontal="center"/>
    </xf>
    <xf numFmtId="0" fontId="16" fillId="0" borderId="0" xfId="0" quotePrefix="1" applyFont="1" applyAlignment="1">
      <alignment horizontal="center"/>
    </xf>
    <xf numFmtId="0" fontId="39" fillId="11" borderId="11" xfId="0" applyFont="1" applyFill="1" applyBorder="1" applyAlignment="1">
      <alignment horizontal="center" wrapText="1"/>
    </xf>
    <xf numFmtId="0" fontId="6" fillId="11" borderId="11" xfId="0" quotePrefix="1" applyFont="1" applyFill="1" applyBorder="1" applyAlignment="1">
      <alignment horizontal="left"/>
    </xf>
    <xf numFmtId="0" fontId="6" fillId="11" borderId="11" xfId="0" applyFont="1" applyFill="1" applyBorder="1" applyAlignment="1">
      <alignment horizontal="left"/>
    </xf>
    <xf numFmtId="0" fontId="5" fillId="11" borderId="11" xfId="0" applyFont="1" applyFill="1" applyBorder="1" applyAlignment="1">
      <alignment horizontal="center"/>
    </xf>
    <xf numFmtId="0" fontId="22" fillId="11" borderId="11" xfId="0" applyFont="1" applyFill="1" applyBorder="1" applyAlignment="1">
      <alignment horizontal="center" vertical="center" wrapText="1"/>
    </xf>
    <xf numFmtId="0" fontId="6" fillId="11" borderId="11" xfId="0" applyFont="1" applyFill="1" applyBorder="1" applyAlignment="1" applyProtection="1">
      <alignment horizontal="center" vertical="center" textRotation="90" wrapText="1"/>
      <protection locked="0" hidden="1"/>
    </xf>
    <xf numFmtId="0" fontId="20" fillId="12" borderId="52" xfId="0" applyFont="1" applyFill="1" applyBorder="1" applyAlignment="1">
      <alignment horizontal="center"/>
    </xf>
    <xf numFmtId="0" fontId="20" fillId="12" borderId="30" xfId="0" applyFont="1" applyFill="1" applyBorder="1" applyAlignment="1">
      <alignment horizontal="center"/>
    </xf>
    <xf numFmtId="0" fontId="20" fillId="12" borderId="54" xfId="0" applyFont="1" applyFill="1" applyBorder="1" applyAlignment="1">
      <alignment horizontal="center"/>
    </xf>
    <xf numFmtId="49" fontId="4" fillId="0" borderId="0" xfId="0" applyNumberFormat="1" applyFont="1" applyAlignment="1">
      <alignment horizontal="justify"/>
    </xf>
    <xf numFmtId="0" fontId="17" fillId="0" borderId="0" xfId="0" applyFont="1" applyAlignment="1">
      <alignment horizontal="center"/>
    </xf>
    <xf numFmtId="0" fontId="6" fillId="0" borderId="11" xfId="0" applyFont="1" applyBorder="1" applyAlignment="1">
      <alignment horizontal="center"/>
    </xf>
    <xf numFmtId="0" fontId="5" fillId="0" borderId="11" xfId="0" applyFont="1" applyBorder="1" applyAlignment="1">
      <alignment horizontal="center"/>
    </xf>
    <xf numFmtId="0" fontId="6" fillId="0" borderId="11" xfId="0" applyFont="1" applyBorder="1" applyAlignment="1">
      <alignment horizontal="center" vertical="center" wrapText="1"/>
    </xf>
    <xf numFmtId="0" fontId="6" fillId="0" borderId="11" xfId="0" applyFont="1" applyBorder="1" applyAlignment="1" applyProtection="1">
      <alignment horizontal="center" vertical="center" textRotation="90" wrapText="1"/>
      <protection locked="0" hidden="1"/>
    </xf>
    <xf numFmtId="0" fontId="5" fillId="0" borderId="11" xfId="0" applyFont="1" applyBorder="1" applyAlignment="1">
      <alignment horizontal="center" vertical="center"/>
    </xf>
    <xf numFmtId="49" fontId="11" fillId="0" borderId="0" xfId="0" applyNumberFormat="1" applyFont="1" applyAlignment="1">
      <alignment horizontal="left"/>
    </xf>
    <xf numFmtId="0" fontId="95" fillId="0" borderId="154" xfId="0" applyFont="1" applyBorder="1" applyAlignment="1">
      <alignment horizontal="center" vertical="center" wrapText="1"/>
    </xf>
    <xf numFmtId="0" fontId="95" fillId="0" borderId="18" xfId="0" applyFont="1" applyBorder="1" applyAlignment="1">
      <alignment horizontal="center" vertical="center" wrapText="1"/>
    </xf>
    <xf numFmtId="0" fontId="95" fillId="0" borderId="21" xfId="0" applyFont="1" applyBorder="1" applyAlignment="1">
      <alignment horizontal="center" vertical="center" wrapText="1"/>
    </xf>
    <xf numFmtId="0" fontId="20" fillId="6" borderId="52" xfId="0" applyFont="1" applyFill="1" applyBorder="1" applyAlignment="1">
      <alignment horizontal="center"/>
    </xf>
    <xf numFmtId="0" fontId="20" fillId="6" borderId="30" xfId="0" applyFont="1" applyFill="1" applyBorder="1" applyAlignment="1">
      <alignment horizontal="center"/>
    </xf>
    <xf numFmtId="0" fontId="20" fillId="6" borderId="54" xfId="0" applyFont="1" applyFill="1" applyBorder="1" applyAlignment="1">
      <alignment horizontal="center"/>
    </xf>
    <xf numFmtId="0" fontId="143" fillId="19" borderId="174" xfId="0" quotePrefix="1" applyFont="1" applyFill="1" applyBorder="1" applyAlignment="1">
      <alignment horizontal="left" vertical="center" wrapText="1"/>
    </xf>
    <xf numFmtId="0" fontId="143" fillId="19" borderId="174" xfId="0" applyFont="1" applyFill="1" applyBorder="1" applyAlignment="1">
      <alignment horizontal="left" vertical="center" wrapText="1"/>
    </xf>
    <xf numFmtId="0" fontId="93" fillId="0" borderId="0" xfId="0" applyFont="1" applyAlignment="1">
      <alignment horizontal="left" vertical="justify"/>
    </xf>
    <xf numFmtId="0" fontId="80" fillId="0" borderId="0" xfId="0" applyFont="1" applyAlignment="1">
      <alignment horizontal="center"/>
    </xf>
    <xf numFmtId="0" fontId="128" fillId="19" borderId="176" xfId="0" quotePrefix="1" applyFont="1" applyFill="1" applyBorder="1" applyAlignment="1">
      <alignment horizontal="center" vertical="center"/>
    </xf>
    <xf numFmtId="0" fontId="128" fillId="19" borderId="177" xfId="0" applyFont="1" applyFill="1" applyBorder="1" applyAlignment="1">
      <alignment horizontal="center" vertical="center"/>
    </xf>
    <xf numFmtId="0" fontId="128" fillId="19" borderId="178" xfId="0" applyFont="1" applyFill="1" applyBorder="1" applyAlignment="1">
      <alignment horizontal="center" vertical="center"/>
    </xf>
    <xf numFmtId="0" fontId="168" fillId="19" borderId="24" xfId="0" quotePrefix="1" applyFont="1" applyFill="1" applyBorder="1" applyAlignment="1">
      <alignment horizontal="center" vertical="center"/>
    </xf>
    <xf numFmtId="0" fontId="168" fillId="19" borderId="26" xfId="0" applyFont="1" applyFill="1" applyBorder="1" applyAlignment="1">
      <alignment horizontal="center" vertical="center"/>
    </xf>
    <xf numFmtId="0" fontId="78" fillId="0" borderId="11" xfId="0" quotePrefix="1" applyFont="1" applyBorder="1" applyAlignment="1">
      <alignment horizontal="left"/>
    </xf>
    <xf numFmtId="0" fontId="78" fillId="0" borderId="11" xfId="0" applyFont="1" applyBorder="1" applyAlignment="1">
      <alignment horizontal="left"/>
    </xf>
    <xf numFmtId="169" fontId="81" fillId="6" borderId="11" xfId="0" quotePrefix="1" applyNumberFormat="1" applyFont="1" applyFill="1" applyBorder="1"/>
    <xf numFmtId="169" fontId="81" fillId="6" borderId="11" xfId="0" applyNumberFormat="1" applyFont="1" applyFill="1" applyBorder="1"/>
    <xf numFmtId="169" fontId="78" fillId="0" borderId="11" xfId="0" applyNumberFormat="1" applyFont="1" applyBorder="1" applyAlignment="1">
      <alignment horizontal="left"/>
    </xf>
    <xf numFmtId="0" fontId="78" fillId="0" borderId="11" xfId="0" applyFont="1" applyBorder="1" applyAlignment="1">
      <alignment horizontal="center"/>
    </xf>
    <xf numFmtId="0" fontId="79" fillId="0" borderId="77" xfId="0" applyFont="1" applyBorder="1" applyAlignment="1">
      <alignment horizontal="center" vertical="center"/>
    </xf>
    <xf numFmtId="0" fontId="79" fillId="0" borderId="47" xfId="0" applyFont="1" applyBorder="1" applyAlignment="1">
      <alignment horizontal="center" vertical="center"/>
    </xf>
    <xf numFmtId="0" fontId="80" fillId="6" borderId="11" xfId="0" applyFont="1" applyFill="1" applyBorder="1" applyAlignment="1">
      <alignment horizontal="left"/>
    </xf>
    <xf numFmtId="0" fontId="172" fillId="19" borderId="11" xfId="0" quotePrefix="1" applyFont="1" applyFill="1" applyBorder="1" applyAlignment="1">
      <alignment horizontal="center" vertical="center" wrapText="1"/>
    </xf>
    <xf numFmtId="0" fontId="168" fillId="19" borderId="22" xfId="0" quotePrefix="1" applyFont="1" applyFill="1" applyBorder="1" applyAlignment="1">
      <alignment horizontal="center" vertical="center"/>
    </xf>
    <xf numFmtId="0" fontId="168" fillId="19" borderId="23" xfId="0" quotePrefix="1" applyFont="1" applyFill="1" applyBorder="1" applyAlignment="1">
      <alignment horizontal="center" vertical="center"/>
    </xf>
    <xf numFmtId="0" fontId="168" fillId="19" borderId="174" xfId="0" quotePrefix="1" applyFont="1" applyFill="1" applyBorder="1" applyAlignment="1">
      <alignment horizontal="center" vertical="center" wrapText="1"/>
    </xf>
    <xf numFmtId="169" fontId="80" fillId="6" borderId="11" xfId="0" applyNumberFormat="1" applyFont="1" applyFill="1" applyBorder="1" applyAlignment="1">
      <alignment horizontal="left"/>
    </xf>
    <xf numFmtId="169" fontId="78" fillId="0" borderId="11" xfId="0" applyNumberFormat="1" applyFont="1" applyBorder="1" applyAlignment="1">
      <alignment horizontal="left" wrapText="1"/>
    </xf>
    <xf numFmtId="169" fontId="78" fillId="0" borderId="11" xfId="0" applyNumberFormat="1" applyFont="1" applyBorder="1" applyAlignment="1">
      <alignment horizontal="left" vertical="center" wrapText="1"/>
    </xf>
    <xf numFmtId="0" fontId="78" fillId="0" borderId="11" xfId="0" applyFont="1" applyBorder="1" applyAlignment="1">
      <alignment horizontal="center" vertical="top"/>
    </xf>
    <xf numFmtId="0" fontId="15" fillId="0" borderId="0" xfId="0" applyFont="1" applyAlignment="1">
      <alignment horizontal="center"/>
    </xf>
    <xf numFmtId="0" fontId="13" fillId="0" borderId="0" xfId="0" applyFont="1" applyAlignment="1">
      <alignment horizontal="center"/>
    </xf>
    <xf numFmtId="0" fontId="15" fillId="0" borderId="0" xfId="0" quotePrefix="1" applyFont="1" applyAlignment="1">
      <alignment horizontal="center"/>
    </xf>
    <xf numFmtId="0" fontId="15" fillId="0" borderId="0" xfId="0" applyFont="1" applyAlignment="1">
      <alignment horizontal="center" vertical="center"/>
    </xf>
    <xf numFmtId="0" fontId="15" fillId="0" borderId="180" xfId="0" quotePrefix="1" applyFont="1" applyBorder="1" applyAlignment="1">
      <alignment horizontal="center" vertical="center"/>
    </xf>
    <xf numFmtId="0" fontId="175" fillId="19" borderId="0" xfId="0" quotePrefix="1" applyFont="1" applyFill="1" applyAlignment="1">
      <alignment horizontal="center" vertical="center" wrapText="1"/>
    </xf>
    <xf numFmtId="0" fontId="4" fillId="0" borderId="0" xfId="0" applyFont="1" applyAlignment="1">
      <alignment horizontal="left"/>
    </xf>
    <xf numFmtId="0" fontId="22" fillId="0" borderId="0" xfId="0" quotePrefix="1" applyFont="1" applyAlignment="1">
      <alignment horizontal="left"/>
    </xf>
    <xf numFmtId="164" fontId="4" fillId="0" borderId="31" xfId="0" applyNumberFormat="1" applyFont="1" applyBorder="1" applyAlignment="1">
      <alignment horizontal="center"/>
    </xf>
    <xf numFmtId="0" fontId="5" fillId="0" borderId="0" xfId="0" quotePrefix="1" applyFont="1" applyAlignment="1">
      <alignment horizontal="left" wrapText="1"/>
    </xf>
    <xf numFmtId="0" fontId="5" fillId="0" borderId="0" xfId="0" applyFont="1" applyAlignment="1">
      <alignment horizontal="left" wrapText="1"/>
    </xf>
    <xf numFmtId="0" fontId="4" fillId="0" borderId="0" xfId="0" quotePrefix="1" applyFont="1" applyAlignment="1">
      <alignment horizontal="left"/>
    </xf>
    <xf numFmtId="0" fontId="4" fillId="0" borderId="0" xfId="0" quotePrefix="1" applyFont="1" applyAlignment="1">
      <alignment horizontal="center" wrapText="1"/>
    </xf>
    <xf numFmtId="0" fontId="4" fillId="0" borderId="0" xfId="0" applyFont="1" applyAlignment="1">
      <alignment horizontal="center" wrapText="1"/>
    </xf>
    <xf numFmtId="0" fontId="12" fillId="0" borderId="0" xfId="0" quotePrefix="1" applyFont="1" applyAlignment="1">
      <alignment horizontal="center" wrapText="1"/>
    </xf>
    <xf numFmtId="0" fontId="12" fillId="0" borderId="0" xfId="0" applyFont="1" applyAlignment="1">
      <alignment horizontal="center" wrapText="1"/>
    </xf>
    <xf numFmtId="49" fontId="4" fillId="0" borderId="0" xfId="0" applyNumberFormat="1" applyFont="1" applyAlignment="1">
      <alignment horizontal="center"/>
    </xf>
    <xf numFmtId="0" fontId="59" fillId="0" borderId="53" xfId="0" applyFont="1" applyBorder="1" applyAlignment="1">
      <alignment horizontal="center"/>
    </xf>
    <xf numFmtId="0" fontId="59" fillId="0" borderId="38" xfId="0" applyFont="1" applyBorder="1" applyAlignment="1">
      <alignment horizontal="center"/>
    </xf>
    <xf numFmtId="0" fontId="59" fillId="0" borderId="58" xfId="0" applyFont="1" applyBorder="1" applyAlignment="1">
      <alignment horizontal="center"/>
    </xf>
    <xf numFmtId="170" fontId="59" fillId="0" borderId="53" xfId="0" applyNumberFormat="1" applyFont="1" applyBorder="1" applyAlignment="1">
      <alignment horizontal="center"/>
    </xf>
    <xf numFmtId="170" fontId="59" fillId="0" borderId="38" xfId="0" applyNumberFormat="1" applyFont="1" applyBorder="1" applyAlignment="1">
      <alignment horizontal="center"/>
    </xf>
    <xf numFmtId="0" fontId="53" fillId="0" borderId="52" xfId="0" quotePrefix="1" applyFont="1" applyBorder="1" applyAlignment="1">
      <alignment horizontal="left"/>
    </xf>
    <xf numFmtId="0" fontId="53" fillId="0" borderId="30" xfId="0" quotePrefix="1" applyFont="1" applyBorder="1" applyAlignment="1">
      <alignment horizontal="left"/>
    </xf>
    <xf numFmtId="0" fontId="53" fillId="0" borderId="54" xfId="0" quotePrefix="1" applyFont="1" applyBorder="1" applyAlignment="1">
      <alignment horizontal="left"/>
    </xf>
    <xf numFmtId="44" fontId="20" fillId="0" borderId="65" xfId="0" applyNumberFormat="1" applyFont="1" applyBorder="1" applyAlignment="1">
      <alignment horizontal="center"/>
    </xf>
    <xf numFmtId="168" fontId="53" fillId="0" borderId="8" xfId="2" applyNumberFormat="1" applyFont="1" applyFill="1" applyBorder="1" applyAlignment="1">
      <alignment horizontal="center"/>
    </xf>
    <xf numFmtId="168" fontId="53" fillId="0" borderId="25" xfId="2" applyNumberFormat="1" applyFont="1" applyFill="1" applyBorder="1" applyAlignment="1">
      <alignment horizontal="center"/>
    </xf>
    <xf numFmtId="168" fontId="53" fillId="0" borderId="81" xfId="2" applyNumberFormat="1" applyFont="1" applyFill="1" applyBorder="1" applyAlignment="1">
      <alignment horizontal="center"/>
    </xf>
    <xf numFmtId="170" fontId="53" fillId="0" borderId="61" xfId="0" applyNumberFormat="1" applyFont="1" applyBorder="1" applyAlignment="1">
      <alignment horizontal="center"/>
    </xf>
    <xf numFmtId="0" fontId="53" fillId="0" borderId="61" xfId="0" applyFont="1" applyBorder="1" applyAlignment="1">
      <alignment horizontal="center"/>
    </xf>
    <xf numFmtId="0" fontId="3" fillId="0" borderId="0" xfId="0" applyFont="1" applyAlignment="1">
      <alignment horizontal="center"/>
    </xf>
    <xf numFmtId="166" fontId="3" fillId="0" borderId="0" xfId="3" applyFont="1" applyBorder="1" applyAlignment="1">
      <alignment horizontal="center"/>
    </xf>
    <xf numFmtId="168" fontId="53" fillId="0" borderId="53" xfId="2" applyNumberFormat="1" applyFont="1" applyFill="1" applyBorder="1" applyAlignment="1">
      <alignment horizontal="center"/>
    </xf>
    <xf numFmtId="168" fontId="53" fillId="0" borderId="38" xfId="2" applyNumberFormat="1" applyFont="1" applyFill="1" applyBorder="1" applyAlignment="1">
      <alignment horizontal="center"/>
    </xf>
    <xf numFmtId="168" fontId="53" fillId="0" borderId="58" xfId="2" applyNumberFormat="1" applyFont="1" applyFill="1" applyBorder="1" applyAlignment="1">
      <alignment horizontal="center"/>
    </xf>
    <xf numFmtId="170" fontId="155" fillId="19" borderId="174" xfId="0" applyNumberFormat="1" applyFont="1" applyFill="1" applyBorder="1" applyAlignment="1">
      <alignment horizontal="center" wrapText="1"/>
    </xf>
    <xf numFmtId="164" fontId="53" fillId="0" borderId="67" xfId="0" applyNumberFormat="1" applyFont="1" applyBorder="1" applyAlignment="1">
      <alignment horizontal="center"/>
    </xf>
    <xf numFmtId="164" fontId="53" fillId="0" borderId="31" xfId="0" applyNumberFormat="1" applyFont="1" applyBorder="1" applyAlignment="1">
      <alignment horizontal="center"/>
    </xf>
    <xf numFmtId="164" fontId="53" fillId="0" borderId="42" xfId="0" applyNumberFormat="1" applyFont="1" applyBorder="1" applyAlignment="1">
      <alignment horizontal="center"/>
    </xf>
    <xf numFmtId="170" fontId="53" fillId="0" borderId="17" xfId="0" applyNumberFormat="1" applyFont="1" applyBorder="1" applyAlignment="1">
      <alignment horizontal="center"/>
    </xf>
    <xf numFmtId="0" fontId="53" fillId="0" borderId="17" xfId="0" applyFont="1" applyBorder="1" applyAlignment="1">
      <alignment horizontal="center"/>
    </xf>
    <xf numFmtId="170" fontId="59" fillId="6" borderId="43" xfId="0" applyNumberFormat="1" applyFont="1" applyFill="1" applyBorder="1" applyAlignment="1">
      <alignment horizontal="center"/>
    </xf>
    <xf numFmtId="0" fontId="59" fillId="6" borderId="43" xfId="0" applyFont="1" applyFill="1" applyBorder="1" applyAlignment="1">
      <alignment horizontal="center"/>
    </xf>
    <xf numFmtId="0" fontId="59" fillId="0" borderId="0" xfId="0" quotePrefix="1" applyFont="1" applyAlignment="1">
      <alignment horizontal="center"/>
    </xf>
    <xf numFmtId="0" fontId="59" fillId="0" borderId="0" xfId="0" applyFont="1" applyAlignment="1">
      <alignment horizontal="center"/>
    </xf>
    <xf numFmtId="170" fontId="59" fillId="0" borderId="0" xfId="0" applyNumberFormat="1" applyFont="1" applyAlignment="1">
      <alignment horizontal="center"/>
    </xf>
    <xf numFmtId="170" fontId="53" fillId="0" borderId="11" xfId="0" applyNumberFormat="1" applyFont="1" applyBorder="1" applyAlignment="1">
      <alignment horizontal="center"/>
    </xf>
    <xf numFmtId="0" fontId="53" fillId="0" borderId="11" xfId="0" applyFont="1" applyBorder="1" applyAlignment="1">
      <alignment horizontal="center"/>
    </xf>
    <xf numFmtId="166" fontId="20" fillId="0" borderId="0" xfId="3" applyFont="1" applyBorder="1" applyAlignment="1">
      <alignment horizontal="center"/>
    </xf>
    <xf numFmtId="164" fontId="53" fillId="0" borderId="55" xfId="0" applyNumberFormat="1" applyFont="1" applyBorder="1" applyAlignment="1">
      <alignment horizontal="center"/>
    </xf>
    <xf numFmtId="164" fontId="53" fillId="0" borderId="110" xfId="0" applyNumberFormat="1" applyFont="1" applyBorder="1" applyAlignment="1">
      <alignment horizontal="center"/>
    </xf>
    <xf numFmtId="166" fontId="53" fillId="0" borderId="11" xfId="3" applyFont="1" applyFill="1" applyBorder="1" applyAlignment="1">
      <alignment horizontal="center"/>
    </xf>
    <xf numFmtId="166" fontId="102" fillId="6" borderId="43" xfId="3" applyFont="1" applyFill="1" applyBorder="1" applyAlignment="1">
      <alignment horizontal="center"/>
    </xf>
    <xf numFmtId="164" fontId="53" fillId="0" borderId="8" xfId="0" applyNumberFormat="1" applyFont="1" applyBorder="1" applyAlignment="1">
      <alignment horizontal="center"/>
    </xf>
    <xf numFmtId="164" fontId="53" fillId="0" borderId="81" xfId="0" applyNumberFormat="1" applyFont="1" applyBorder="1" applyAlignment="1">
      <alignment horizontal="center"/>
    </xf>
    <xf numFmtId="170" fontId="59" fillId="0" borderId="50" xfId="0" applyNumberFormat="1" applyFont="1" applyBorder="1" applyAlignment="1">
      <alignment horizontal="center"/>
    </xf>
    <xf numFmtId="170" fontId="59" fillId="0" borderId="51" xfId="0" applyNumberFormat="1" applyFont="1" applyBorder="1" applyAlignment="1">
      <alignment horizontal="center"/>
    </xf>
    <xf numFmtId="168" fontId="59" fillId="6" borderId="70" xfId="2" applyNumberFormat="1" applyFont="1" applyFill="1" applyBorder="1" applyAlignment="1">
      <alignment horizontal="center"/>
    </xf>
    <xf numFmtId="168" fontId="59" fillId="6" borderId="68" xfId="2" applyNumberFormat="1" applyFont="1" applyFill="1" applyBorder="1" applyAlignment="1">
      <alignment horizontal="center"/>
    </xf>
    <xf numFmtId="168" fontId="59" fillId="6" borderId="74" xfId="2" applyNumberFormat="1" applyFont="1" applyFill="1" applyBorder="1" applyAlignment="1">
      <alignment horizontal="center"/>
    </xf>
    <xf numFmtId="0" fontId="155" fillId="19" borderId="174" xfId="0" applyFont="1" applyFill="1" applyBorder="1" applyAlignment="1">
      <alignment horizontal="center" wrapText="1"/>
    </xf>
    <xf numFmtId="166" fontId="53" fillId="0" borderId="28" xfId="3" applyFont="1" applyFill="1" applyBorder="1" applyAlignment="1">
      <alignment horizontal="center"/>
    </xf>
    <xf numFmtId="4" fontId="59" fillId="0" borderId="53" xfId="0" applyNumberFormat="1" applyFont="1" applyBorder="1" applyAlignment="1">
      <alignment horizontal="center"/>
    </xf>
    <xf numFmtId="4" fontId="59" fillId="0" borderId="58" xfId="0" applyNumberFormat="1" applyFont="1" applyBorder="1" applyAlignment="1">
      <alignment horizontal="center"/>
    </xf>
    <xf numFmtId="0" fontId="53" fillId="0" borderId="0" xfId="0" applyFont="1" applyAlignment="1">
      <alignment horizontal="center" wrapText="1"/>
    </xf>
    <xf numFmtId="0" fontId="53" fillId="0" borderId="0" xfId="0" quotePrefix="1" applyFont="1" applyAlignment="1">
      <alignment horizontal="center" wrapText="1"/>
    </xf>
    <xf numFmtId="0" fontId="156" fillId="19" borderId="174" xfId="0" applyFont="1" applyFill="1" applyBorder="1" applyAlignment="1">
      <alignment horizontal="center" vertical="center" wrapText="1"/>
    </xf>
    <xf numFmtId="0" fontId="156" fillId="19" borderId="174" xfId="0" quotePrefix="1" applyFont="1" applyFill="1" applyBorder="1" applyAlignment="1">
      <alignment horizontal="center" vertical="center" wrapText="1"/>
    </xf>
    <xf numFmtId="0" fontId="59" fillId="0" borderId="28" xfId="0" quotePrefix="1" applyFont="1" applyBorder="1" applyAlignment="1">
      <alignment horizontal="center"/>
    </xf>
    <xf numFmtId="0" fontId="155" fillId="19" borderId="174" xfId="0" applyFont="1" applyFill="1" applyBorder="1" applyAlignment="1">
      <alignment horizontal="center"/>
    </xf>
    <xf numFmtId="0" fontId="102" fillId="17" borderId="145" xfId="0" applyFont="1" applyFill="1" applyBorder="1" applyAlignment="1">
      <alignment horizontal="left"/>
    </xf>
    <xf numFmtId="0" fontId="156" fillId="19" borderId="174" xfId="0" applyFont="1" applyFill="1" applyBorder="1" applyAlignment="1">
      <alignment horizontal="center" wrapText="1"/>
    </xf>
    <xf numFmtId="0" fontId="156" fillId="19" borderId="174" xfId="0" quotePrefix="1" applyFont="1" applyFill="1" applyBorder="1" applyAlignment="1">
      <alignment horizontal="center" wrapText="1"/>
    </xf>
    <xf numFmtId="0" fontId="59" fillId="0" borderId="28" xfId="0" applyFont="1" applyBorder="1" applyAlignment="1">
      <alignment horizontal="center"/>
    </xf>
    <xf numFmtId="170" fontId="59" fillId="6" borderId="70" xfId="0" applyNumberFormat="1" applyFont="1" applyFill="1" applyBorder="1" applyAlignment="1">
      <alignment horizontal="center"/>
    </xf>
    <xf numFmtId="170" fontId="59" fillId="6" borderId="74" xfId="0" applyNumberFormat="1" applyFont="1" applyFill="1" applyBorder="1" applyAlignment="1">
      <alignment horizontal="center"/>
    </xf>
    <xf numFmtId="0" fontId="59" fillId="0" borderId="24" xfId="0" quotePrefix="1" applyFont="1" applyBorder="1" applyAlignment="1">
      <alignment horizontal="center"/>
    </xf>
    <xf numFmtId="0" fontId="59" fillId="0" borderId="25" xfId="0" quotePrefix="1" applyFont="1" applyBorder="1" applyAlignment="1">
      <alignment horizontal="center"/>
    </xf>
    <xf numFmtId="0" fontId="59" fillId="0" borderId="25" xfId="0" applyFont="1" applyBorder="1" applyAlignment="1">
      <alignment horizontal="center"/>
    </xf>
    <xf numFmtId="0" fontId="59" fillId="0" borderId="81" xfId="0" applyFont="1" applyBorder="1" applyAlignment="1">
      <alignment horizontal="center"/>
    </xf>
    <xf numFmtId="170" fontId="59" fillId="0" borderId="8" xfId="0" applyNumberFormat="1" applyFont="1" applyBorder="1" applyAlignment="1">
      <alignment horizontal="center"/>
    </xf>
    <xf numFmtId="170" fontId="59" fillId="0" borderId="81" xfId="0" applyNumberFormat="1" applyFont="1" applyBorder="1" applyAlignment="1">
      <alignment horizontal="center"/>
    </xf>
    <xf numFmtId="0" fontId="59" fillId="0" borderId="52" xfId="0" quotePrefix="1" applyFont="1" applyBorder="1" applyAlignment="1">
      <alignment horizontal="center"/>
    </xf>
    <xf numFmtId="0" fontId="59" fillId="0" borderId="30" xfId="0" quotePrefix="1" applyFont="1" applyBorder="1" applyAlignment="1">
      <alignment horizontal="center"/>
    </xf>
    <xf numFmtId="0" fontId="59" fillId="0" borderId="54" xfId="0" quotePrefix="1" applyFont="1" applyBorder="1" applyAlignment="1">
      <alignment horizontal="center"/>
    </xf>
    <xf numFmtId="170" fontId="59" fillId="0" borderId="25" xfId="0" applyNumberFormat="1" applyFont="1" applyBorder="1" applyAlignment="1">
      <alignment horizontal="center"/>
    </xf>
    <xf numFmtId="164" fontId="53" fillId="0" borderId="53" xfId="0" applyNumberFormat="1" applyFont="1" applyBorder="1" applyAlignment="1">
      <alignment horizontal="center"/>
    </xf>
    <xf numFmtId="164" fontId="53" fillId="0" borderId="58" xfId="0" applyNumberFormat="1" applyFont="1" applyBorder="1" applyAlignment="1">
      <alignment horizontal="center"/>
    </xf>
    <xf numFmtId="164" fontId="59" fillId="6" borderId="78" xfId="0" applyNumberFormat="1" applyFont="1" applyFill="1" applyBorder="1" applyAlignment="1">
      <alignment horizontal="right"/>
    </xf>
    <xf numFmtId="164" fontId="59" fillId="6" borderId="79" xfId="0" applyNumberFormat="1" applyFont="1" applyFill="1" applyBorder="1" applyAlignment="1">
      <alignment horizontal="right"/>
    </xf>
    <xf numFmtId="164" fontId="59" fillId="6" borderId="80" xfId="0" applyNumberFormat="1" applyFont="1" applyFill="1" applyBorder="1" applyAlignment="1">
      <alignment horizontal="right"/>
    </xf>
    <xf numFmtId="168" fontId="53" fillId="0" borderId="55" xfId="2" applyNumberFormat="1" applyFont="1" applyFill="1" applyBorder="1" applyAlignment="1">
      <alignment horizontal="center"/>
    </xf>
    <xf numFmtId="168" fontId="53" fillId="0" borderId="1" xfId="2" applyNumberFormat="1" applyFont="1" applyFill="1" applyBorder="1" applyAlignment="1">
      <alignment horizontal="center"/>
    </xf>
    <xf numFmtId="168" fontId="53" fillId="0" borderId="110" xfId="2" applyNumberFormat="1" applyFont="1" applyFill="1" applyBorder="1" applyAlignment="1">
      <alignment horizontal="center"/>
    </xf>
    <xf numFmtId="0" fontId="6" fillId="0" borderId="0" xfId="0" applyFont="1" applyAlignment="1">
      <alignment horizontal="center" vertical="center"/>
    </xf>
    <xf numFmtId="0" fontId="6" fillId="0" borderId="0" xfId="0" quotePrefix="1" applyFont="1" applyAlignment="1">
      <alignment horizontal="center" vertical="center"/>
    </xf>
    <xf numFmtId="0" fontId="160" fillId="19" borderId="77" xfId="0" applyFont="1" applyFill="1" applyBorder="1" applyAlignment="1">
      <alignment horizontal="center" vertical="center"/>
    </xf>
    <xf numFmtId="0" fontId="160" fillId="19" borderId="22" xfId="0" applyFont="1" applyFill="1" applyBorder="1" applyAlignment="1">
      <alignment horizontal="center" vertical="center"/>
    </xf>
    <xf numFmtId="0" fontId="160" fillId="19" borderId="37" xfId="0" applyFont="1" applyFill="1" applyBorder="1" applyAlignment="1">
      <alignment horizontal="center" vertical="center"/>
    </xf>
    <xf numFmtId="0" fontId="160" fillId="19" borderId="174" xfId="0" applyFont="1" applyFill="1" applyBorder="1" applyAlignment="1">
      <alignment horizontal="center" vertical="center"/>
    </xf>
    <xf numFmtId="0" fontId="160" fillId="19" borderId="174" xfId="0" applyFont="1" applyFill="1" applyBorder="1" applyAlignment="1">
      <alignment horizontal="center" vertical="center" wrapText="1"/>
    </xf>
    <xf numFmtId="0" fontId="161" fillId="19" borderId="174" xfId="0" applyFont="1" applyFill="1" applyBorder="1" applyAlignment="1">
      <alignment horizontal="center" vertical="center" wrapText="1"/>
    </xf>
    <xf numFmtId="0" fontId="161" fillId="19" borderId="174" xfId="0" applyFont="1" applyFill="1" applyBorder="1" applyAlignment="1">
      <alignment horizontal="center" vertical="center"/>
    </xf>
    <xf numFmtId="0" fontId="161" fillId="19" borderId="181" xfId="0" applyFont="1" applyFill="1" applyBorder="1" applyAlignment="1">
      <alignment horizontal="center" vertical="center" wrapText="1"/>
    </xf>
    <xf numFmtId="0" fontId="160" fillId="19" borderId="181" xfId="0" applyFont="1" applyFill="1" applyBorder="1" applyAlignment="1">
      <alignment horizontal="center" vertical="center" wrapText="1"/>
    </xf>
    <xf numFmtId="9" fontId="160" fillId="19" borderId="174" xfId="0" applyNumberFormat="1" applyFont="1" applyFill="1" applyBorder="1" applyAlignment="1">
      <alignment horizontal="center" vertical="center"/>
    </xf>
    <xf numFmtId="0" fontId="55" fillId="0" borderId="0" xfId="0" applyFont="1" applyAlignment="1">
      <alignment horizontal="center" vertical="center"/>
    </xf>
    <xf numFmtId="0" fontId="161" fillId="19" borderId="174" xfId="0" quotePrefix="1" applyFont="1" applyFill="1" applyBorder="1" applyAlignment="1">
      <alignment horizontal="center"/>
    </xf>
    <xf numFmtId="4" fontId="161" fillId="19" borderId="174" xfId="0" applyNumberFormat="1" applyFont="1" applyFill="1" applyBorder="1" applyAlignment="1">
      <alignment horizontal="center"/>
    </xf>
    <xf numFmtId="49" fontId="160" fillId="19" borderId="174" xfId="0" quotePrefix="1" applyNumberFormat="1" applyFont="1" applyFill="1" applyBorder="1" applyAlignment="1">
      <alignment horizontal="center" vertical="center"/>
    </xf>
    <xf numFmtId="49" fontId="160" fillId="19" borderId="174" xfId="0" applyNumberFormat="1" applyFont="1" applyFill="1" applyBorder="1" applyAlignment="1">
      <alignment horizontal="center" vertical="center"/>
    </xf>
    <xf numFmtId="0" fontId="161" fillId="19" borderId="174" xfId="0" quotePrefix="1" applyFont="1" applyFill="1" applyBorder="1" applyAlignment="1">
      <alignment horizontal="center" vertical="center" wrapText="1"/>
    </xf>
    <xf numFmtId="170" fontId="53" fillId="0" borderId="28" xfId="0" applyNumberFormat="1" applyFont="1" applyBorder="1" applyAlignment="1">
      <alignment horizontal="center"/>
    </xf>
    <xf numFmtId="166" fontId="102" fillId="6" borderId="11" xfId="0" applyNumberFormat="1" applyFont="1" applyFill="1" applyBorder="1" applyAlignment="1">
      <alignment horizontal="center"/>
    </xf>
    <xf numFmtId="166" fontId="102" fillId="6" borderId="11" xfId="3" applyFont="1" applyFill="1" applyBorder="1" applyAlignment="1">
      <alignment horizontal="center"/>
    </xf>
    <xf numFmtId="170" fontId="53" fillId="0" borderId="52" xfId="0" applyNumberFormat="1" applyFont="1" applyBorder="1" applyAlignment="1">
      <alignment horizontal="center"/>
    </xf>
    <xf numFmtId="170" fontId="53" fillId="0" borderId="54" xfId="0" applyNumberFormat="1" applyFont="1" applyBorder="1" applyAlignment="1">
      <alignment horizontal="center"/>
    </xf>
    <xf numFmtId="166" fontId="53" fillId="0" borderId="52" xfId="3" applyFont="1" applyFill="1" applyBorder="1" applyAlignment="1">
      <alignment horizontal="center"/>
    </xf>
    <xf numFmtId="166" fontId="53" fillId="0" borderId="54" xfId="3" applyFont="1" applyFill="1" applyBorder="1" applyAlignment="1">
      <alignment horizontal="center"/>
    </xf>
    <xf numFmtId="0" fontId="102" fillId="6" borderId="145" xfId="0" applyFont="1" applyFill="1" applyBorder="1" applyAlignment="1">
      <alignment horizontal="left"/>
    </xf>
    <xf numFmtId="0" fontId="102" fillId="6" borderId="145" xfId="0" applyFont="1" applyFill="1" applyBorder="1" applyAlignment="1">
      <alignment horizontal="center"/>
    </xf>
    <xf numFmtId="0" fontId="141" fillId="19" borderId="174" xfId="0" applyFont="1" applyFill="1" applyBorder="1" applyAlignment="1">
      <alignment horizontal="center" vertical="center"/>
    </xf>
    <xf numFmtId="0" fontId="141" fillId="19" borderId="174" xfId="0" quotePrefix="1" applyFont="1" applyFill="1" applyBorder="1" applyAlignment="1">
      <alignment horizontal="center" vertical="center"/>
    </xf>
    <xf numFmtId="0" fontId="107" fillId="6" borderId="145" xfId="0" applyFont="1" applyFill="1" applyBorder="1" applyAlignment="1">
      <alignment horizontal="left"/>
    </xf>
    <xf numFmtId="0" fontId="141" fillId="19" borderId="174" xfId="0" quotePrefix="1" applyFont="1" applyFill="1" applyBorder="1" applyAlignment="1">
      <alignment horizontal="center" vertical="center" wrapText="1"/>
    </xf>
    <xf numFmtId="0" fontId="157" fillId="19" borderId="145" xfId="0" applyFont="1" applyFill="1" applyBorder="1" applyAlignment="1">
      <alignment horizontal="center" vertical="center"/>
    </xf>
    <xf numFmtId="0" fontId="107" fillId="14" borderId="145" xfId="0" applyFont="1" applyFill="1" applyBorder="1" applyAlignment="1">
      <alignment horizontal="center"/>
    </xf>
    <xf numFmtId="0" fontId="160" fillId="19" borderId="145" xfId="0" applyFont="1" applyFill="1" applyBorder="1" applyAlignment="1">
      <alignment horizontal="center" vertical="center"/>
    </xf>
    <xf numFmtId="0" fontId="161" fillId="19" borderId="145" xfId="0" applyFont="1" applyFill="1" applyBorder="1" applyAlignment="1">
      <alignment horizontal="center" vertical="center"/>
    </xf>
    <xf numFmtId="0" fontId="13" fillId="0" borderId="0" xfId="0" applyFont="1" applyAlignment="1">
      <alignment horizontal="left" vertical="center" wrapText="1"/>
    </xf>
    <xf numFmtId="49" fontId="28" fillId="6" borderId="37" xfId="1" applyNumberFormat="1" applyFont="1" applyFill="1" applyBorder="1" applyAlignment="1">
      <alignment horizontal="center"/>
    </xf>
    <xf numFmtId="49" fontId="28" fillId="6" borderId="110" xfId="1" applyNumberFormat="1" applyFont="1" applyFill="1" applyBorder="1" applyAlignment="1">
      <alignment horizontal="center"/>
    </xf>
    <xf numFmtId="4" fontId="136" fillId="19" borderId="174" xfId="1" applyNumberFormat="1" applyFont="1" applyFill="1" applyBorder="1" applyAlignment="1">
      <alignment horizontal="center" vertical="center" wrapText="1"/>
    </xf>
    <xf numFmtId="4" fontId="136" fillId="19" borderId="174" xfId="1" applyNumberFormat="1" applyFont="1" applyFill="1" applyBorder="1" applyAlignment="1">
      <alignment horizontal="center"/>
    </xf>
    <xf numFmtId="49" fontId="136" fillId="19" borderId="176" xfId="1" applyNumberFormat="1" applyFont="1" applyFill="1" applyBorder="1" applyAlignment="1">
      <alignment horizontal="center" vertical="center" wrapText="1"/>
    </xf>
    <xf numFmtId="4" fontId="136" fillId="19" borderId="174" xfId="1" applyNumberFormat="1" applyFont="1" applyFill="1" applyBorder="1" applyAlignment="1">
      <alignment horizontal="center" vertical="center"/>
    </xf>
    <xf numFmtId="49" fontId="136" fillId="19" borderId="174" xfId="1" applyNumberFormat="1" applyFont="1" applyFill="1" applyBorder="1" applyAlignment="1">
      <alignment horizontal="center" vertical="center" wrapText="1"/>
    </xf>
    <xf numFmtId="0" fontId="39" fillId="6" borderId="52" xfId="0" applyFont="1" applyFill="1" applyBorder="1" applyAlignment="1">
      <alignment horizontal="center" vertical="center"/>
    </xf>
    <xf numFmtId="0" fontId="39" fillId="6" borderId="30" xfId="0" applyFont="1" applyFill="1" applyBorder="1" applyAlignment="1">
      <alignment horizontal="center" vertical="center"/>
    </xf>
    <xf numFmtId="0" fontId="147" fillId="0" borderId="0" xfId="0" applyFont="1" applyAlignment="1">
      <alignment horizontal="center" vertical="center"/>
    </xf>
    <xf numFmtId="0" fontId="174" fillId="0" borderId="0" xfId="0" quotePrefix="1" applyFont="1" applyAlignment="1">
      <alignment horizontal="center" vertical="center"/>
    </xf>
    <xf numFmtId="0" fontId="174" fillId="0" borderId="0" xfId="0" applyFont="1" applyAlignment="1">
      <alignment horizontal="center" vertical="center"/>
    </xf>
    <xf numFmtId="4" fontId="136" fillId="19" borderId="174" xfId="1" quotePrefix="1" applyNumberFormat="1" applyFont="1" applyFill="1" applyBorder="1" applyAlignment="1">
      <alignment horizontal="center" wrapText="1"/>
    </xf>
    <xf numFmtId="4" fontId="136" fillId="19" borderId="174" xfId="1" applyNumberFormat="1" applyFont="1" applyFill="1" applyBorder="1" applyAlignment="1">
      <alignment horizontal="center" wrapText="1"/>
    </xf>
    <xf numFmtId="0" fontId="119" fillId="0" borderId="0" xfId="6" applyFont="1" applyFill="1" applyBorder="1" applyAlignment="1">
      <alignment horizontal="center"/>
    </xf>
    <xf numFmtId="0" fontId="159" fillId="6" borderId="11" xfId="0" applyFont="1" applyFill="1" applyBorder="1" applyAlignment="1">
      <alignment horizontal="center" vertical="center"/>
    </xf>
    <xf numFmtId="0" fontId="123" fillId="19" borderId="174" xfId="0" applyFont="1" applyFill="1" applyBorder="1" applyAlignment="1">
      <alignment horizontal="center" vertical="center"/>
    </xf>
    <xf numFmtId="0" fontId="124" fillId="19" borderId="174" xfId="0" applyFont="1" applyFill="1" applyBorder="1" applyAlignment="1">
      <alignment horizontal="center" vertical="center" wrapText="1"/>
    </xf>
    <xf numFmtId="0" fontId="191" fillId="0" borderId="0" xfId="0" applyFont="1" applyAlignment="1">
      <alignment horizontal="center" vertical="center"/>
    </xf>
    <xf numFmtId="0" fontId="125" fillId="19" borderId="174" xfId="0" applyFont="1" applyFill="1" applyBorder="1" applyAlignment="1">
      <alignment horizontal="center" vertical="center" wrapText="1"/>
    </xf>
    <xf numFmtId="0" fontId="126" fillId="19" borderId="174" xfId="0" applyFont="1" applyFill="1" applyBorder="1" applyAlignment="1">
      <alignment horizontal="center" vertical="center" wrapText="1"/>
    </xf>
    <xf numFmtId="49" fontId="124" fillId="19" borderId="174" xfId="0" applyNumberFormat="1" applyFont="1" applyFill="1" applyBorder="1" applyAlignment="1">
      <alignment horizontal="center" vertical="center"/>
    </xf>
    <xf numFmtId="0" fontId="186" fillId="0" borderId="0" xfId="6" applyFont="1" applyFill="1" applyBorder="1" applyAlignment="1">
      <alignment horizontal="center"/>
    </xf>
    <xf numFmtId="0" fontId="119" fillId="0" borderId="0" xfId="6" quotePrefix="1" applyFont="1" applyFill="1" applyBorder="1" applyAlignment="1">
      <alignment horizontal="center"/>
    </xf>
    <xf numFmtId="0" fontId="17" fillId="4" borderId="0" xfId="0" quotePrefix="1" applyFont="1" applyFill="1" applyAlignment="1">
      <alignment horizontal="center"/>
    </xf>
    <xf numFmtId="0" fontId="17" fillId="2" borderId="0" xfId="0" applyFont="1" applyFill="1" applyAlignment="1">
      <alignment horizontal="center"/>
    </xf>
    <xf numFmtId="0" fontId="3" fillId="2" borderId="36" xfId="0" quotePrefix="1" applyFont="1" applyFill="1" applyBorder="1" applyAlignment="1">
      <alignment horizontal="left" vertical="center" wrapText="1"/>
    </xf>
    <xf numFmtId="0" fontId="3" fillId="0" borderId="38" xfId="0" applyFont="1" applyBorder="1" applyAlignment="1">
      <alignment horizontal="left" vertical="center" wrapText="1"/>
    </xf>
    <xf numFmtId="0" fontId="3" fillId="0" borderId="35" xfId="0" applyFont="1" applyBorder="1" applyAlignment="1">
      <alignment horizontal="left" vertical="center" wrapText="1"/>
    </xf>
    <xf numFmtId="49" fontId="3" fillId="2" borderId="82" xfId="0" applyNumberFormat="1" applyFont="1" applyFill="1" applyBorder="1" applyAlignment="1">
      <alignment horizontal="left" vertical="center" wrapText="1"/>
    </xf>
    <xf numFmtId="49" fontId="3" fillId="2" borderId="30" xfId="0" applyNumberFormat="1" applyFont="1" applyFill="1" applyBorder="1" applyAlignment="1">
      <alignment horizontal="left" vertical="center" wrapText="1"/>
    </xf>
    <xf numFmtId="49" fontId="3" fillId="2" borderId="20" xfId="0" applyNumberFormat="1" applyFont="1" applyFill="1" applyBorder="1" applyAlignment="1">
      <alignment horizontal="left" vertical="center" wrapText="1"/>
    </xf>
    <xf numFmtId="49" fontId="17" fillId="4" borderId="11" xfId="0" applyNumberFormat="1" applyFont="1" applyFill="1" applyBorder="1" applyAlignment="1">
      <alignment horizontal="left" vertical="center" wrapText="1"/>
    </xf>
    <xf numFmtId="49" fontId="20" fillId="6" borderId="24" xfId="0" applyNumberFormat="1" applyFont="1" applyFill="1" applyBorder="1" applyAlignment="1">
      <alignment horizontal="center" vertical="center"/>
    </xf>
    <xf numFmtId="49" fontId="122" fillId="6" borderId="25" xfId="0" applyNumberFormat="1" applyFont="1" applyFill="1" applyBorder="1" applyAlignment="1">
      <alignment horizontal="center" vertical="center"/>
    </xf>
    <xf numFmtId="49" fontId="122" fillId="6" borderId="26" xfId="0" applyNumberFormat="1" applyFont="1" applyFill="1" applyBorder="1" applyAlignment="1">
      <alignment horizontal="center" vertical="center"/>
    </xf>
    <xf numFmtId="0" fontId="134" fillId="18" borderId="11" xfId="0" quotePrefix="1" applyFont="1" applyFill="1" applyBorder="1" applyAlignment="1">
      <alignment horizontal="left" vertical="center" wrapText="1"/>
    </xf>
    <xf numFmtId="0" fontId="134" fillId="18" borderId="11" xfId="0" applyFont="1" applyFill="1" applyBorder="1" applyAlignment="1">
      <alignment horizontal="left" vertical="center" wrapText="1"/>
    </xf>
    <xf numFmtId="0" fontId="20" fillId="0" borderId="34" xfId="0" applyFont="1" applyBorder="1" applyAlignment="1">
      <alignment horizontal="center"/>
    </xf>
    <xf numFmtId="0" fontId="20" fillId="0" borderId="18" xfId="0" applyFont="1" applyBorder="1" applyAlignment="1">
      <alignment horizontal="center"/>
    </xf>
    <xf numFmtId="0" fontId="20" fillId="0" borderId="21" xfId="0" applyFont="1" applyBorder="1" applyAlignment="1">
      <alignment horizontal="center"/>
    </xf>
    <xf numFmtId="0" fontId="13" fillId="0" borderId="2" xfId="0" applyFont="1" applyBorder="1" applyAlignment="1">
      <alignment horizontal="center" vertical="center"/>
    </xf>
    <xf numFmtId="0" fontId="3" fillId="0" borderId="4" xfId="0" applyFont="1" applyBorder="1" applyAlignment="1">
      <alignment horizontal="center"/>
    </xf>
    <xf numFmtId="0" fontId="13" fillId="0" borderId="2" xfId="0" applyFont="1" applyBorder="1" applyAlignment="1" applyProtection="1">
      <alignment horizontal="center" vertical="center"/>
      <protection locked="0" hidden="1"/>
    </xf>
    <xf numFmtId="49" fontId="3" fillId="2" borderId="33" xfId="0" quotePrefix="1" applyNumberFormat="1" applyFont="1" applyFill="1" applyBorder="1" applyAlignment="1">
      <alignment horizontal="left" vertical="center"/>
    </xf>
    <xf numFmtId="49" fontId="3" fillId="2" borderId="69" xfId="0" quotePrefix="1" applyNumberFormat="1" applyFont="1" applyFill="1" applyBorder="1" applyAlignment="1">
      <alignment horizontal="left" vertical="center"/>
    </xf>
    <xf numFmtId="49" fontId="3" fillId="2" borderId="32" xfId="0" quotePrefix="1" applyNumberFormat="1" applyFont="1" applyFill="1" applyBorder="1" applyAlignment="1">
      <alignment horizontal="left" vertical="center"/>
    </xf>
    <xf numFmtId="0" fontId="3" fillId="2" borderId="33"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17" fillId="4" borderId="0" xfId="0" applyFont="1" applyFill="1" applyAlignment="1">
      <alignment horizontal="center"/>
    </xf>
    <xf numFmtId="0" fontId="174" fillId="2" borderId="38" xfId="0" applyFont="1" applyFill="1" applyBorder="1" applyAlignment="1">
      <alignment horizontal="center" vertical="center"/>
    </xf>
    <xf numFmtId="0" fontId="27" fillId="0" borderId="11" xfId="0" applyFont="1" applyBorder="1" applyAlignment="1">
      <alignment horizontal="justify" vertical="center" wrapText="1"/>
    </xf>
    <xf numFmtId="49" fontId="3" fillId="2" borderId="37" xfId="0" applyNumberFormat="1"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56" xfId="0" applyFont="1" applyBorder="1" applyAlignment="1">
      <alignment horizontal="left" vertical="center" wrapText="1"/>
    </xf>
    <xf numFmtId="49" fontId="3" fillId="2" borderId="37" xfId="0" quotePrefix="1" applyNumberFormat="1" applyFont="1" applyFill="1" applyBorder="1" applyAlignment="1">
      <alignment horizontal="left" vertical="center" wrapText="1"/>
    </xf>
    <xf numFmtId="0" fontId="180" fillId="17" borderId="0" xfId="0" applyFont="1" applyFill="1" applyAlignment="1">
      <alignment horizontal="center" vertical="center"/>
    </xf>
    <xf numFmtId="0" fontId="3" fillId="0" borderId="2" xfId="0" applyFont="1" applyBorder="1" applyAlignment="1">
      <alignment horizontal="center"/>
    </xf>
    <xf numFmtId="49" fontId="20" fillId="6" borderId="24" xfId="0" applyNumberFormat="1" applyFont="1" applyFill="1" applyBorder="1" applyAlignment="1">
      <alignment horizontal="center"/>
    </xf>
    <xf numFmtId="49" fontId="122" fillId="6" borderId="25" xfId="0" applyNumberFormat="1" applyFont="1" applyFill="1" applyBorder="1" applyAlignment="1">
      <alignment horizontal="center"/>
    </xf>
    <xf numFmtId="49" fontId="122" fillId="6" borderId="26" xfId="0" applyNumberFormat="1" applyFont="1" applyFill="1" applyBorder="1" applyAlignment="1">
      <alignment horizontal="center"/>
    </xf>
    <xf numFmtId="0" fontId="27" fillId="0" borderId="0" xfId="0" applyFont="1" applyAlignment="1">
      <alignment horizontal="left" vertical="center"/>
    </xf>
    <xf numFmtId="0" fontId="98" fillId="7" borderId="0" xfId="0" applyFont="1" applyFill="1" applyAlignment="1">
      <alignment horizontal="center" vertical="center"/>
    </xf>
    <xf numFmtId="0" fontId="27" fillId="7" borderId="38" xfId="0" applyFont="1" applyFill="1" applyBorder="1" applyAlignment="1">
      <alignment horizontal="justify" vertical="center" wrapText="1"/>
    </xf>
    <xf numFmtId="49" fontId="3" fillId="0" borderId="33" xfId="0" quotePrefix="1" applyNumberFormat="1" applyFont="1" applyBorder="1" applyAlignment="1">
      <alignment horizontal="left" vertical="center"/>
    </xf>
    <xf numFmtId="49" fontId="3" fillId="0" borderId="69" xfId="0" quotePrefix="1" applyNumberFormat="1" applyFont="1" applyBorder="1" applyAlignment="1">
      <alignment horizontal="left" vertical="center"/>
    </xf>
    <xf numFmtId="49" fontId="3" fillId="0" borderId="32" xfId="0" quotePrefix="1" applyNumberFormat="1" applyFont="1" applyBorder="1" applyAlignment="1">
      <alignment horizontal="left" vertical="center"/>
    </xf>
    <xf numFmtId="0" fontId="3" fillId="0" borderId="33" xfId="0" applyFont="1" applyBorder="1" applyAlignment="1">
      <alignment horizontal="left" wrapText="1"/>
    </xf>
    <xf numFmtId="0" fontId="3" fillId="0" borderId="32" xfId="0" applyFont="1" applyBorder="1" applyAlignment="1">
      <alignment horizontal="left" wrapText="1"/>
    </xf>
    <xf numFmtId="0" fontId="3" fillId="2" borderId="36" xfId="0" applyFont="1" applyFill="1" applyBorder="1" applyAlignment="1">
      <alignment horizontal="left" vertical="center" wrapText="1"/>
    </xf>
    <xf numFmtId="0" fontId="174" fillId="4" borderId="38" xfId="0" applyFont="1" applyFill="1" applyBorder="1" applyAlignment="1">
      <alignment horizontal="center" vertical="center"/>
    </xf>
    <xf numFmtId="0" fontId="133" fillId="18" borderId="11" xfId="0" quotePrefix="1" applyFont="1" applyFill="1" applyBorder="1" applyAlignment="1">
      <alignment horizontal="left" vertical="center" wrapText="1"/>
    </xf>
    <xf numFmtId="0" fontId="133" fillId="18" borderId="11" xfId="0" applyFont="1" applyFill="1" applyBorder="1" applyAlignment="1">
      <alignment horizontal="left" vertical="center" wrapText="1"/>
    </xf>
    <xf numFmtId="0" fontId="133" fillId="18" borderId="17" xfId="0" applyFont="1" applyFill="1" applyBorder="1" applyAlignment="1">
      <alignment horizontal="left" vertical="center" wrapText="1"/>
    </xf>
    <xf numFmtId="0" fontId="13" fillId="0" borderId="39" xfId="0" applyFont="1" applyBorder="1" applyAlignment="1">
      <alignment horizontal="center" vertical="center"/>
    </xf>
    <xf numFmtId="0" fontId="17" fillId="2" borderId="0" xfId="0" quotePrefix="1" applyFont="1" applyFill="1" applyAlignment="1">
      <alignment horizontal="center"/>
    </xf>
    <xf numFmtId="0" fontId="3" fillId="0" borderId="34" xfId="0" applyFont="1" applyBorder="1" applyAlignment="1">
      <alignment horizontal="center"/>
    </xf>
    <xf numFmtId="0" fontId="3" fillId="0" borderId="18" xfId="0" applyFont="1" applyBorder="1" applyAlignment="1">
      <alignment horizontal="center"/>
    </xf>
    <xf numFmtId="0" fontId="3" fillId="0" borderId="21" xfId="0" applyFont="1" applyBorder="1" applyAlignment="1">
      <alignment horizontal="center"/>
    </xf>
    <xf numFmtId="49" fontId="20" fillId="6" borderId="34" xfId="0" applyNumberFormat="1" applyFont="1" applyFill="1" applyBorder="1" applyAlignment="1">
      <alignment horizontal="center"/>
    </xf>
    <xf numFmtId="49" fontId="122" fillId="6" borderId="18" xfId="0" applyNumberFormat="1" applyFont="1" applyFill="1" applyBorder="1" applyAlignment="1">
      <alignment horizontal="center"/>
    </xf>
    <xf numFmtId="49" fontId="122" fillId="6" borderId="21" xfId="0" applyNumberFormat="1" applyFont="1" applyFill="1" applyBorder="1" applyAlignment="1">
      <alignment horizontal="center"/>
    </xf>
    <xf numFmtId="0" fontId="179" fillId="18" borderId="0" xfId="0" applyFont="1" applyFill="1" applyAlignment="1">
      <alignment horizontal="center" vertical="center"/>
    </xf>
    <xf numFmtId="0" fontId="3" fillId="4" borderId="36" xfId="0" quotePrefix="1"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174" fillId="2" borderId="0" xfId="0" applyFont="1" applyFill="1" applyAlignment="1">
      <alignment horizontal="center" vertical="center"/>
    </xf>
    <xf numFmtId="0" fontId="20" fillId="0" borderId="37" xfId="0" applyFont="1" applyBorder="1" applyAlignment="1">
      <alignment horizontal="center" vertical="center"/>
    </xf>
    <xf numFmtId="0" fontId="20" fillId="0" borderId="1" xfId="0" applyFont="1" applyBorder="1" applyAlignment="1">
      <alignment vertical="center"/>
    </xf>
    <xf numFmtId="0" fontId="20" fillId="0" borderId="56" xfId="0" applyFont="1" applyBorder="1" applyAlignment="1">
      <alignment vertical="center"/>
    </xf>
    <xf numFmtId="0" fontId="13" fillId="0" borderId="4" xfId="0" applyFont="1" applyBorder="1" applyAlignment="1" applyProtection="1">
      <alignment horizontal="center" vertical="center"/>
      <protection locked="0" hidden="1"/>
    </xf>
    <xf numFmtId="49" fontId="3" fillId="2" borderId="69" xfId="0" applyNumberFormat="1" applyFont="1" applyFill="1" applyBorder="1" applyAlignment="1">
      <alignment horizontal="left" vertical="center"/>
    </xf>
    <xf numFmtId="0" fontId="3" fillId="2" borderId="33" xfId="0" applyFont="1" applyFill="1" applyBorder="1" applyAlignment="1">
      <alignment horizontal="left" wrapText="1"/>
    </xf>
    <xf numFmtId="0" fontId="3" fillId="2" borderId="32" xfId="0" applyFont="1" applyFill="1" applyBorder="1" applyAlignment="1">
      <alignment horizontal="left" wrapText="1"/>
    </xf>
    <xf numFmtId="49" fontId="3" fillId="2" borderId="0" xfId="0" quotePrefix="1" applyNumberFormat="1" applyFont="1" applyFill="1" applyAlignment="1">
      <alignment horizontal="left"/>
    </xf>
    <xf numFmtId="49" fontId="3" fillId="2" borderId="0" xfId="0" applyNumberFormat="1" applyFont="1" applyFill="1" applyAlignment="1">
      <alignment horizontal="left"/>
    </xf>
    <xf numFmtId="0" fontId="3" fillId="2" borderId="0" xfId="0" quotePrefix="1" applyFont="1" applyFill="1" applyAlignment="1">
      <alignment horizontal="left" wrapText="1"/>
    </xf>
    <xf numFmtId="0" fontId="3" fillId="0" borderId="0" xfId="0" applyFont="1" applyAlignment="1">
      <alignment wrapText="1"/>
    </xf>
    <xf numFmtId="0" fontId="181" fillId="18" borderId="0" xfId="0" applyFont="1" applyFill="1" applyAlignment="1">
      <alignment horizontal="center" vertical="center"/>
    </xf>
    <xf numFmtId="0" fontId="181" fillId="18" borderId="0" xfId="0" applyFont="1" applyFill="1" applyAlignment="1">
      <alignment horizontal="center" vertical="center" wrapText="1"/>
    </xf>
    <xf numFmtId="0" fontId="180" fillId="21" borderId="0" xfId="0" applyFont="1" applyFill="1" applyAlignment="1">
      <alignment horizontal="center" vertical="center"/>
    </xf>
    <xf numFmtId="0" fontId="3" fillId="2" borderId="38" xfId="0" quotePrefix="1" applyFont="1" applyFill="1" applyBorder="1" applyAlignment="1">
      <alignment horizontal="left" vertical="center" wrapText="1"/>
    </xf>
    <xf numFmtId="0" fontId="3" fillId="2" borderId="35" xfId="0" quotePrefix="1" applyFont="1" applyFill="1" applyBorder="1" applyAlignment="1">
      <alignment horizontal="left" vertical="center" wrapText="1"/>
    </xf>
    <xf numFmtId="49" fontId="3" fillId="4" borderId="37" xfId="0" applyNumberFormat="1" applyFont="1" applyFill="1" applyBorder="1" applyAlignment="1">
      <alignment horizontal="left" vertical="center" wrapText="1"/>
    </xf>
    <xf numFmtId="49" fontId="3" fillId="4" borderId="1" xfId="0" applyNumberFormat="1" applyFont="1" applyFill="1" applyBorder="1" applyAlignment="1">
      <alignment horizontal="left" vertical="center" wrapText="1"/>
    </xf>
    <xf numFmtId="49" fontId="3" fillId="4" borderId="56" xfId="0" applyNumberFormat="1" applyFont="1" applyFill="1" applyBorder="1" applyAlignment="1">
      <alignment horizontal="left" vertical="center" wrapText="1"/>
    </xf>
    <xf numFmtId="49" fontId="3" fillId="4" borderId="37" xfId="0" quotePrefix="1" applyNumberFormat="1" applyFont="1" applyFill="1" applyBorder="1" applyAlignment="1">
      <alignment horizontal="left" vertical="center" wrapText="1"/>
    </xf>
    <xf numFmtId="0" fontId="3" fillId="4" borderId="56" xfId="0" applyFont="1" applyFill="1" applyBorder="1" applyAlignment="1">
      <alignment horizontal="left" vertical="center" wrapText="1"/>
    </xf>
    <xf numFmtId="0" fontId="3" fillId="2" borderId="82" xfId="0" applyFont="1" applyFill="1" applyBorder="1" applyAlignment="1">
      <alignment horizontal="left" vertical="center" wrapText="1"/>
    </xf>
    <xf numFmtId="0" fontId="3" fillId="2" borderId="20" xfId="0"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49" fontId="3" fillId="2" borderId="56" xfId="0" applyNumberFormat="1" applyFont="1" applyFill="1" applyBorder="1" applyAlignment="1">
      <alignment horizontal="left" vertical="center" wrapText="1"/>
    </xf>
    <xf numFmtId="0" fontId="133" fillId="19" borderId="11" xfId="0" quotePrefix="1" applyFont="1" applyFill="1" applyBorder="1" applyAlignment="1">
      <alignment horizontal="left" vertical="center" wrapText="1"/>
    </xf>
    <xf numFmtId="0" fontId="133" fillId="19" borderId="11" xfId="0" applyFont="1" applyFill="1" applyBorder="1" applyAlignment="1">
      <alignment horizontal="left" vertical="center" wrapText="1"/>
    </xf>
    <xf numFmtId="0" fontId="3" fillId="0" borderId="24" xfId="0" applyFont="1" applyBorder="1" applyAlignment="1">
      <alignment horizontal="center"/>
    </xf>
    <xf numFmtId="0" fontId="3" fillId="0" borderId="25" xfId="0" applyFont="1" applyBorder="1"/>
    <xf numFmtId="0" fontId="3" fillId="0" borderId="26" xfId="0" applyFont="1" applyBorder="1"/>
    <xf numFmtId="49" fontId="3" fillId="0" borderId="69" xfId="0" applyNumberFormat="1" applyFont="1" applyBorder="1" applyAlignment="1">
      <alignment horizontal="left" vertical="center"/>
    </xf>
    <xf numFmtId="49" fontId="3" fillId="2" borderId="109" xfId="0" applyNumberFormat="1" applyFont="1" applyFill="1" applyBorder="1" applyAlignment="1">
      <alignment horizontal="left" vertical="center" wrapText="1"/>
    </xf>
    <xf numFmtId="49" fontId="3" fillId="2" borderId="31" xfId="0" applyNumberFormat="1" applyFont="1" applyFill="1" applyBorder="1" applyAlignment="1">
      <alignment horizontal="left" vertical="center" wrapText="1"/>
    </xf>
    <xf numFmtId="49" fontId="3" fillId="2" borderId="29" xfId="0" applyNumberFormat="1" applyFont="1" applyFill="1" applyBorder="1" applyAlignment="1">
      <alignment horizontal="left" vertical="center" wrapText="1"/>
    </xf>
    <xf numFmtId="0" fontId="3" fillId="0" borderId="36" xfId="0" quotePrefix="1" applyFont="1" applyBorder="1" applyAlignment="1">
      <alignment horizontal="left" vertical="center" wrapText="1"/>
    </xf>
    <xf numFmtId="49" fontId="3" fillId="2" borderId="109" xfId="0" applyNumberFormat="1" applyFont="1" applyFill="1" applyBorder="1" applyAlignment="1">
      <alignment horizontal="left" wrapText="1"/>
    </xf>
    <xf numFmtId="49" fontId="3" fillId="2" borderId="31" xfId="0" applyNumberFormat="1" applyFont="1" applyFill="1" applyBorder="1" applyAlignment="1">
      <alignment horizontal="left" wrapText="1"/>
    </xf>
    <xf numFmtId="49" fontId="3" fillId="2" borderId="29" xfId="0" applyNumberFormat="1" applyFont="1" applyFill="1" applyBorder="1" applyAlignment="1">
      <alignment horizontal="left" wrapText="1"/>
    </xf>
    <xf numFmtId="49" fontId="3" fillId="2" borderId="36" xfId="0" applyNumberFormat="1" applyFont="1" applyFill="1" applyBorder="1" applyAlignment="1">
      <alignment horizontal="left" wrapText="1"/>
    </xf>
    <xf numFmtId="49" fontId="3" fillId="2" borderId="38" xfId="0" applyNumberFormat="1" applyFont="1" applyFill="1" applyBorder="1" applyAlignment="1">
      <alignment horizontal="left" wrapText="1"/>
    </xf>
    <xf numFmtId="49" fontId="3" fillId="2" borderId="35" xfId="0" applyNumberFormat="1" applyFont="1" applyFill="1" applyBorder="1" applyAlignment="1">
      <alignment horizontal="left" wrapText="1"/>
    </xf>
    <xf numFmtId="0" fontId="3" fillId="2" borderId="109"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13" fillId="0" borderId="39" xfId="0" applyFont="1" applyBorder="1" applyAlignment="1" applyProtection="1">
      <alignment horizontal="center" vertical="center"/>
      <protection locked="0" hidden="1"/>
    </xf>
    <xf numFmtId="0" fontId="174" fillId="2" borderId="0" xfId="0" applyFont="1" applyFill="1" applyAlignment="1">
      <alignment horizontal="center"/>
    </xf>
    <xf numFmtId="0" fontId="3" fillId="4" borderId="38" xfId="0" quotePrefix="1" applyFont="1" applyFill="1" applyBorder="1" applyAlignment="1">
      <alignment horizontal="left" vertical="center" wrapText="1"/>
    </xf>
    <xf numFmtId="0" fontId="3" fillId="4" borderId="35" xfId="0" quotePrefix="1" applyFont="1" applyFill="1" applyBorder="1" applyAlignment="1">
      <alignment horizontal="left" vertical="center" wrapText="1"/>
    </xf>
    <xf numFmtId="0" fontId="3" fillId="0" borderId="36" xfId="0" applyFont="1" applyBorder="1" applyAlignment="1">
      <alignment horizontal="left" vertical="center" wrapText="1"/>
    </xf>
    <xf numFmtId="49" fontId="3" fillId="0" borderId="37"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3" fillId="0" borderId="56" xfId="0" applyNumberFormat="1" applyFont="1" applyBorder="1" applyAlignment="1">
      <alignment horizontal="left" vertical="center" wrapText="1"/>
    </xf>
    <xf numFmtId="49" fontId="3" fillId="0" borderId="37" xfId="0" quotePrefix="1" applyNumberFormat="1" applyFont="1" applyBorder="1" applyAlignment="1">
      <alignment horizontal="left" vertical="center" wrapText="1"/>
    </xf>
    <xf numFmtId="0" fontId="3" fillId="0" borderId="38" xfId="0" quotePrefix="1" applyFont="1" applyBorder="1" applyAlignment="1">
      <alignment horizontal="left" vertical="center" wrapText="1"/>
    </xf>
    <xf numFmtId="0" fontId="3" fillId="0" borderId="35" xfId="0" quotePrefix="1" applyFont="1" applyBorder="1" applyAlignment="1">
      <alignment horizontal="left" vertical="center" wrapText="1"/>
    </xf>
    <xf numFmtId="0" fontId="176" fillId="6" borderId="0" xfId="0" applyFont="1" applyFill="1" applyAlignment="1">
      <alignment horizontal="center" vertical="center"/>
    </xf>
    <xf numFmtId="0" fontId="126" fillId="19" borderId="51" xfId="0" applyFont="1" applyFill="1" applyBorder="1" applyAlignment="1">
      <alignment horizontal="center" vertical="center" wrapText="1"/>
    </xf>
    <xf numFmtId="0" fontId="126" fillId="19" borderId="58" xfId="0" applyFont="1" applyFill="1" applyBorder="1" applyAlignment="1">
      <alignment horizontal="center" vertical="center" wrapText="1"/>
    </xf>
    <xf numFmtId="0" fontId="159" fillId="6" borderId="28" xfId="0" applyFont="1" applyFill="1" applyBorder="1" applyAlignment="1">
      <alignment horizontal="center" vertical="center"/>
    </xf>
    <xf numFmtId="0" fontId="120" fillId="0" borderId="0" xfId="0" applyFont="1" applyAlignment="1">
      <alignment horizontal="center" vertical="center"/>
    </xf>
    <xf numFmtId="0" fontId="125" fillId="19" borderId="50" xfId="0" applyFont="1" applyFill="1" applyBorder="1" applyAlignment="1">
      <alignment horizontal="center" vertical="center" wrapText="1"/>
    </xf>
    <xf numFmtId="0" fontId="125" fillId="19" borderId="53" xfId="0" applyFont="1" applyFill="1" applyBorder="1" applyAlignment="1">
      <alignment horizontal="center" vertical="center" wrapText="1"/>
    </xf>
    <xf numFmtId="0" fontId="123" fillId="19" borderId="67" xfId="0" applyFont="1" applyFill="1" applyBorder="1" applyAlignment="1">
      <alignment horizontal="center" vertical="center"/>
    </xf>
    <xf numFmtId="0" fontId="123" fillId="19" borderId="53" xfId="0" applyFont="1" applyFill="1" applyBorder="1" applyAlignment="1">
      <alignment horizontal="center" vertical="center"/>
    </xf>
    <xf numFmtId="49" fontId="124" fillId="19" borderId="53" xfId="0" applyNumberFormat="1" applyFont="1" applyFill="1" applyBorder="1" applyAlignment="1">
      <alignment horizontal="center" vertical="center"/>
    </xf>
    <xf numFmtId="49" fontId="124" fillId="19" borderId="38" xfId="0" applyNumberFormat="1" applyFont="1" applyFill="1" applyBorder="1" applyAlignment="1">
      <alignment horizontal="center" vertical="center"/>
    </xf>
    <xf numFmtId="49" fontId="124" fillId="19" borderId="58" xfId="0" applyNumberFormat="1" applyFont="1" applyFill="1" applyBorder="1" applyAlignment="1">
      <alignment horizontal="center" vertical="center"/>
    </xf>
    <xf numFmtId="0" fontId="125" fillId="19" borderId="0" xfId="0" applyFont="1" applyFill="1" applyAlignment="1">
      <alignment horizontal="center" vertical="center" wrapText="1"/>
    </xf>
    <xf numFmtId="0" fontId="125" fillId="19" borderId="38" xfId="0" applyFont="1" applyFill="1" applyBorder="1" applyAlignment="1">
      <alignment horizontal="center" vertical="center" wrapText="1"/>
    </xf>
    <xf numFmtId="0" fontId="124" fillId="19" borderId="0" xfId="0" applyFont="1" applyFill="1" applyAlignment="1">
      <alignment horizontal="center" vertical="center" wrapText="1"/>
    </xf>
    <xf numFmtId="0" fontId="124" fillId="19" borderId="38" xfId="0" applyFont="1" applyFill="1" applyBorder="1" applyAlignment="1">
      <alignment horizontal="center" vertical="center" wrapText="1"/>
    </xf>
    <xf numFmtId="49" fontId="20" fillId="6" borderId="192" xfId="0" applyNumberFormat="1" applyFont="1" applyFill="1" applyBorder="1" applyAlignment="1">
      <alignment horizontal="center"/>
    </xf>
    <xf numFmtId="49" fontId="122" fillId="6" borderId="192" xfId="0" applyNumberFormat="1" applyFont="1" applyFill="1" applyBorder="1" applyAlignment="1">
      <alignment horizontal="center"/>
    </xf>
    <xf numFmtId="0" fontId="174" fillId="2" borderId="0" xfId="0" applyFont="1" applyFill="1" applyAlignment="1">
      <alignment horizontal="left"/>
    </xf>
    <xf numFmtId="0" fontId="3" fillId="0" borderId="37" xfId="0" applyFont="1" applyBorder="1" applyAlignment="1">
      <alignment horizontal="center"/>
    </xf>
    <xf numFmtId="0" fontId="3" fillId="0" borderId="1" xfId="0" applyFont="1" applyBorder="1"/>
    <xf numFmtId="0" fontId="3" fillId="0" borderId="56" xfId="0" applyFont="1" applyBorder="1"/>
    <xf numFmtId="0" fontId="174" fillId="2" borderId="0" xfId="0" applyFont="1" applyFill="1" applyAlignment="1">
      <alignment horizontal="center" vertical="center" wrapText="1"/>
    </xf>
    <xf numFmtId="49" fontId="17" fillId="4" borderId="191" xfId="0" applyNumberFormat="1" applyFont="1" applyFill="1" applyBorder="1" applyAlignment="1">
      <alignment horizontal="left" vertical="center" wrapText="1"/>
    </xf>
    <xf numFmtId="49" fontId="189" fillId="2" borderId="193" xfId="0" applyNumberFormat="1" applyFont="1" applyFill="1" applyBorder="1" applyAlignment="1">
      <alignment horizontal="center"/>
    </xf>
    <xf numFmtId="49" fontId="189" fillId="2" borderId="194" xfId="0" applyNumberFormat="1" applyFont="1" applyFill="1" applyBorder="1" applyAlignment="1">
      <alignment horizontal="center"/>
    </xf>
    <xf numFmtId="49" fontId="189" fillId="2" borderId="195" xfId="0" applyNumberFormat="1" applyFont="1" applyFill="1" applyBorder="1" applyAlignment="1">
      <alignment horizontal="center"/>
    </xf>
    <xf numFmtId="0" fontId="174" fillId="2" borderId="38" xfId="0" applyFont="1" applyFill="1" applyBorder="1" applyAlignment="1">
      <alignment horizontal="center" vertical="center" wrapText="1"/>
    </xf>
    <xf numFmtId="0" fontId="13" fillId="0" borderId="22" xfId="0" applyFont="1" applyBorder="1" applyAlignment="1">
      <alignment horizontal="center" vertical="center"/>
    </xf>
    <xf numFmtId="0" fontId="13" fillId="0" borderId="192" xfId="0" applyFont="1" applyBorder="1" applyAlignment="1" applyProtection="1">
      <alignment horizontal="center" vertical="center"/>
      <protection locked="0" hidden="1"/>
    </xf>
    <xf numFmtId="49" fontId="20" fillId="6" borderId="192" xfId="0" applyNumberFormat="1" applyFont="1" applyFill="1" applyBorder="1" applyAlignment="1">
      <alignment horizontal="center" vertical="center"/>
    </xf>
    <xf numFmtId="49" fontId="122" fillId="6" borderId="192" xfId="0" applyNumberFormat="1" applyFont="1" applyFill="1" applyBorder="1" applyAlignment="1">
      <alignment horizontal="center" vertical="center"/>
    </xf>
    <xf numFmtId="0" fontId="174" fillId="2" borderId="38" xfId="0" applyFont="1" applyFill="1" applyBorder="1" applyAlignment="1">
      <alignment horizontal="center"/>
    </xf>
    <xf numFmtId="0" fontId="3" fillId="2" borderId="191" xfId="0" quotePrefix="1" applyFont="1" applyFill="1" applyBorder="1" applyAlignment="1">
      <alignment horizontal="left" vertical="center" wrapText="1"/>
    </xf>
    <xf numFmtId="0" fontId="3" fillId="0" borderId="191" xfId="0" applyFont="1" applyBorder="1" applyAlignment="1">
      <alignment horizontal="left" vertical="center" wrapText="1"/>
    </xf>
    <xf numFmtId="49" fontId="3" fillId="2" borderId="191" xfId="0" applyNumberFormat="1" applyFont="1" applyFill="1" applyBorder="1" applyAlignment="1">
      <alignment horizontal="left" vertical="center" wrapText="1"/>
    </xf>
    <xf numFmtId="0" fontId="3" fillId="2" borderId="191" xfId="0" applyFont="1" applyFill="1" applyBorder="1" applyAlignment="1">
      <alignment horizontal="left" vertical="center" wrapText="1"/>
    </xf>
    <xf numFmtId="49" fontId="3" fillId="2" borderId="191" xfId="0" quotePrefix="1" applyNumberFormat="1" applyFont="1" applyFill="1" applyBorder="1" applyAlignment="1">
      <alignment horizontal="left" vertical="center" wrapText="1"/>
    </xf>
    <xf numFmtId="0" fontId="133" fillId="18" borderId="17" xfId="0" quotePrefix="1" applyFont="1" applyFill="1" applyBorder="1" applyAlignment="1">
      <alignment horizontal="center" vertical="center" wrapText="1"/>
    </xf>
    <xf numFmtId="0" fontId="133" fillId="18" borderId="17" xfId="0" applyFont="1" applyFill="1" applyBorder="1" applyAlignment="1">
      <alignment horizontal="center" vertical="center" wrapText="1"/>
    </xf>
    <xf numFmtId="0" fontId="27" fillId="0" borderId="192" xfId="0" applyFont="1" applyBorder="1" applyAlignment="1">
      <alignment horizontal="center"/>
    </xf>
    <xf numFmtId="0" fontId="27" fillId="0" borderId="192" xfId="0" applyFont="1" applyBorder="1"/>
    <xf numFmtId="0" fontId="27" fillId="0" borderId="196" xfId="0" applyFont="1" applyBorder="1"/>
    <xf numFmtId="0" fontId="27" fillId="0" borderId="192" xfId="0" applyFont="1" applyBorder="1" applyAlignment="1">
      <alignment horizontal="center" vertical="center"/>
    </xf>
    <xf numFmtId="0" fontId="27" fillId="0" borderId="192" xfId="0" applyFont="1" applyBorder="1" applyAlignment="1" applyProtection="1">
      <alignment horizontal="center" vertical="center"/>
      <protection locked="0" hidden="1"/>
    </xf>
    <xf numFmtId="49" fontId="25" fillId="6" borderId="192" xfId="0" applyNumberFormat="1" applyFont="1" applyFill="1" applyBorder="1" applyAlignment="1">
      <alignment horizontal="center" vertical="center"/>
    </xf>
    <xf numFmtId="49" fontId="188" fillId="6" borderId="192" xfId="0" applyNumberFormat="1" applyFont="1" applyFill="1" applyBorder="1" applyAlignment="1">
      <alignment horizontal="center" vertical="center"/>
    </xf>
    <xf numFmtId="49" fontId="3" fillId="2" borderId="191" xfId="0" quotePrefix="1" applyNumberFormat="1" applyFont="1" applyFill="1" applyBorder="1" applyAlignment="1">
      <alignment horizontal="left" vertical="center"/>
    </xf>
    <xf numFmtId="49" fontId="3" fillId="2" borderId="191" xfId="0" applyNumberFormat="1" applyFont="1" applyFill="1" applyBorder="1" applyAlignment="1">
      <alignment horizontal="left" vertical="center"/>
    </xf>
    <xf numFmtId="49" fontId="17" fillId="4" borderId="52" xfId="0" applyNumberFormat="1" applyFont="1" applyFill="1" applyBorder="1" applyAlignment="1">
      <alignment horizontal="left" vertical="center" wrapText="1"/>
    </xf>
    <xf numFmtId="49" fontId="17" fillId="4" borderId="30" xfId="0" applyNumberFormat="1" applyFont="1" applyFill="1" applyBorder="1" applyAlignment="1">
      <alignment horizontal="left" vertical="center" wrapText="1"/>
    </xf>
    <xf numFmtId="49" fontId="17" fillId="4" borderId="54" xfId="0" applyNumberFormat="1" applyFont="1" applyFill="1" applyBorder="1" applyAlignment="1">
      <alignment horizontal="left" vertical="center" wrapText="1"/>
    </xf>
    <xf numFmtId="49" fontId="3" fillId="2" borderId="69" xfId="0" applyNumberFormat="1" applyFont="1" applyFill="1" applyBorder="1" applyAlignment="1">
      <alignment horizontal="left" wrapText="1"/>
    </xf>
    <xf numFmtId="49" fontId="3" fillId="2" borderId="0" xfId="0" quotePrefix="1" applyNumberFormat="1" applyFont="1" applyFill="1" applyAlignment="1">
      <alignment horizontal="left" wrapText="1"/>
    </xf>
    <xf numFmtId="0" fontId="3" fillId="0" borderId="0" xfId="0" applyFont="1" applyAlignment="1">
      <alignment horizontal="left" wrapText="1"/>
    </xf>
    <xf numFmtId="0" fontId="13" fillId="0" borderId="19" xfId="0" applyFont="1" applyBorder="1" applyAlignment="1" applyProtection="1">
      <alignment horizontal="center" vertical="center"/>
      <protection locked="0" hidden="1"/>
    </xf>
    <xf numFmtId="49" fontId="20" fillId="6" borderId="228" xfId="0" applyNumberFormat="1" applyFont="1" applyFill="1" applyBorder="1" applyAlignment="1">
      <alignment horizontal="center" vertical="center"/>
    </xf>
    <xf numFmtId="0" fontId="126" fillId="19" borderId="225" xfId="0" applyFont="1" applyFill="1" applyBorder="1" applyAlignment="1">
      <alignment horizontal="center" vertical="center" wrapText="1"/>
    </xf>
    <xf numFmtId="0" fontId="125" fillId="19" borderId="225" xfId="0" applyFont="1" applyFill="1" applyBorder="1" applyAlignment="1">
      <alignment horizontal="center" vertical="center" wrapText="1"/>
    </xf>
    <xf numFmtId="0" fontId="123" fillId="19" borderId="225" xfId="0" applyFont="1" applyFill="1" applyBorder="1" applyAlignment="1">
      <alignment horizontal="center" vertical="center"/>
    </xf>
    <xf numFmtId="49" fontId="124" fillId="19" borderId="225" xfId="0" applyNumberFormat="1" applyFont="1" applyFill="1" applyBorder="1" applyAlignment="1">
      <alignment horizontal="center" vertical="center"/>
    </xf>
    <xf numFmtId="0" fontId="124" fillId="19" borderId="225" xfId="0" applyFont="1" applyFill="1" applyBorder="1" applyAlignment="1">
      <alignment horizontal="center" vertical="center" wrapText="1"/>
    </xf>
    <xf numFmtId="0" fontId="174" fillId="2" borderId="38" xfId="0" applyFont="1" applyFill="1" applyBorder="1" applyAlignment="1">
      <alignment horizontal="left" vertical="center"/>
    </xf>
    <xf numFmtId="0" fontId="13" fillId="0" borderId="19" xfId="0" applyFont="1" applyBorder="1" applyAlignment="1">
      <alignment horizontal="center" vertical="center"/>
    </xf>
    <xf numFmtId="0" fontId="13" fillId="0" borderId="4" xfId="0" applyFont="1" applyBorder="1" applyAlignment="1">
      <alignment horizontal="center" vertical="center"/>
    </xf>
    <xf numFmtId="49" fontId="3" fillId="2" borderId="56" xfId="0" quotePrefix="1" applyNumberFormat="1" applyFont="1" applyFill="1" applyBorder="1" applyAlignment="1">
      <alignment horizontal="left" vertical="center" wrapText="1"/>
    </xf>
    <xf numFmtId="49" fontId="3" fillId="2" borderId="36" xfId="0" applyNumberFormat="1" applyFont="1" applyFill="1" applyBorder="1" applyAlignment="1">
      <alignment horizontal="left" vertical="center" wrapText="1"/>
    </xf>
    <xf numFmtId="49" fontId="3" fillId="2" borderId="38" xfId="0" applyNumberFormat="1" applyFont="1" applyFill="1" applyBorder="1" applyAlignment="1">
      <alignment horizontal="left" vertical="center" wrapText="1"/>
    </xf>
    <xf numFmtId="49" fontId="3" fillId="2" borderId="35" xfId="0" applyNumberFormat="1" applyFont="1" applyFill="1" applyBorder="1" applyAlignment="1">
      <alignment horizontal="left" vertical="center" wrapText="1"/>
    </xf>
    <xf numFmtId="0" fontId="133" fillId="19" borderId="174" xfId="0" applyFont="1" applyFill="1" applyBorder="1" applyAlignment="1">
      <alignment horizontal="center" vertical="center"/>
    </xf>
    <xf numFmtId="0" fontId="3" fillId="0" borderId="58" xfId="0" applyFont="1" applyBorder="1" applyAlignment="1">
      <alignment horizontal="justify" vertical="center" wrapText="1"/>
    </xf>
  </cellXfs>
  <cellStyles count="7">
    <cellStyle name="20% - Énfasis1" xfId="6" builtinId="30"/>
    <cellStyle name="Euro" xfId="1"/>
    <cellStyle name="Millares" xfId="2" builtinId="3"/>
    <cellStyle name="Moneda" xfId="3" builtinId="4"/>
    <cellStyle name="Normal" xfId="0" builtinId="0"/>
    <cellStyle name="Normal 4" xfId="4"/>
    <cellStyle name="Porcentaje" xfId="5" builtinId="5"/>
  </cellStyles>
  <dxfs count="0"/>
  <tableStyles count="0" defaultTableStyle="TableStyleMedium9" defaultPivotStyle="PivotStyleLight16"/>
  <colors>
    <mruColors>
      <color rgb="FF00FFFF"/>
      <color rgb="FFFF00FF"/>
      <color rgb="FFFFFF99"/>
      <color rgb="FF33CCCC"/>
      <color rgb="FFFFCC99"/>
      <color rgb="FF2F0BB5"/>
      <color rgb="FFFFCCFF"/>
      <color rgb="FF99FF66"/>
      <color rgb="FFFF99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png"/><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1.png"/><Relationship Id="rId1" Type="http://schemas.openxmlformats.org/officeDocument/2006/relationships/image" Target="../media/image7.jpeg"/><Relationship Id="rId5" Type="http://schemas.openxmlformats.org/officeDocument/2006/relationships/image" Target="../media/image10.jpeg"/><Relationship Id="rId4"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70303</xdr:colOff>
      <xdr:row>1</xdr:row>
      <xdr:rowOff>36286</xdr:rowOff>
    </xdr:from>
    <xdr:to>
      <xdr:col>1</xdr:col>
      <xdr:colOff>231888</xdr:colOff>
      <xdr:row>4</xdr:row>
      <xdr:rowOff>25088</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303" y="195036"/>
          <a:ext cx="891835" cy="846052"/>
        </a:xfrm>
        <a:prstGeom prst="rect">
          <a:avLst/>
        </a:prstGeom>
      </xdr:spPr>
    </xdr:pic>
    <xdr:clientData/>
  </xdr:twoCellAnchor>
  <xdr:twoCellAnchor editAs="oneCell">
    <xdr:from>
      <xdr:col>5</xdr:col>
      <xdr:colOff>544608</xdr:colOff>
      <xdr:row>0</xdr:row>
      <xdr:rowOff>30937</xdr:rowOff>
    </xdr:from>
    <xdr:to>
      <xdr:col>7</xdr:col>
      <xdr:colOff>94117</xdr:colOff>
      <xdr:row>4</xdr:row>
      <xdr:rowOff>93549</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37233" y="30937"/>
          <a:ext cx="1025884" cy="10275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923925</xdr:colOff>
      <xdr:row>2</xdr:row>
      <xdr:rowOff>104775</xdr:rowOff>
    </xdr:from>
    <xdr:to>
      <xdr:col>10</xdr:col>
      <xdr:colOff>1102774</xdr:colOff>
      <xdr:row>5</xdr:row>
      <xdr:rowOff>247650</xdr:rowOff>
    </xdr:to>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831" b="9512"/>
        <a:stretch/>
      </xdr:blipFill>
      <xdr:spPr>
        <a:xfrm>
          <a:off x="8486775" y="428625"/>
          <a:ext cx="1164320" cy="971550"/>
        </a:xfrm>
        <a:prstGeom prst="rect">
          <a:avLst/>
        </a:prstGeom>
      </xdr:spPr>
    </xdr:pic>
    <xdr:clientData/>
  </xdr:twoCellAnchor>
  <xdr:twoCellAnchor editAs="oneCell">
    <xdr:from>
      <xdr:col>0</xdr:col>
      <xdr:colOff>189035</xdr:colOff>
      <xdr:row>2</xdr:row>
      <xdr:rowOff>47625</xdr:rowOff>
    </xdr:from>
    <xdr:to>
      <xdr:col>1</xdr:col>
      <xdr:colOff>904867</xdr:colOff>
      <xdr:row>5</xdr:row>
      <xdr:rowOff>179585</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9035" y="370010"/>
          <a:ext cx="1001582" cy="96722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1979048</xdr:colOff>
      <xdr:row>2</xdr:row>
      <xdr:rowOff>152400</xdr:rowOff>
    </xdr:from>
    <xdr:to>
      <xdr:col>7</xdr:col>
      <xdr:colOff>1006065</xdr:colOff>
      <xdr:row>8</xdr:row>
      <xdr:rowOff>717</xdr:rowOff>
    </xdr:to>
    <xdr:pic>
      <xdr:nvPicPr>
        <xdr:cNvPr id="2" name="Imagen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93873" y="571500"/>
          <a:ext cx="1227292" cy="1238967"/>
        </a:xfrm>
        <a:prstGeom prst="rect">
          <a:avLst/>
        </a:prstGeom>
      </xdr:spPr>
    </xdr:pic>
    <xdr:clientData/>
  </xdr:twoCellAnchor>
  <xdr:twoCellAnchor editAs="oneCell">
    <xdr:from>
      <xdr:col>0</xdr:col>
      <xdr:colOff>0</xdr:colOff>
      <xdr:row>3</xdr:row>
      <xdr:rowOff>41147</xdr:rowOff>
    </xdr:from>
    <xdr:to>
      <xdr:col>1</xdr:col>
      <xdr:colOff>509180</xdr:colOff>
      <xdr:row>7</xdr:row>
      <xdr:rowOff>87382</xdr:rowOff>
    </xdr:to>
    <xdr:pic>
      <xdr:nvPicPr>
        <xdr:cNvPr id="3" name="Imagen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29212"/>
          <a:ext cx="1006137" cy="973887"/>
        </a:xfrm>
        <a:prstGeom prst="rect">
          <a:avLst/>
        </a:prstGeom>
      </xdr:spPr>
    </xdr:pic>
    <xdr:clientData/>
  </xdr:twoCellAnchor>
  <xdr:twoCellAnchor editAs="oneCell">
    <xdr:from>
      <xdr:col>0</xdr:col>
      <xdr:colOff>174689</xdr:colOff>
      <xdr:row>61</xdr:row>
      <xdr:rowOff>58106</xdr:rowOff>
    </xdr:from>
    <xdr:to>
      <xdr:col>2</xdr:col>
      <xdr:colOff>25916</xdr:colOff>
      <xdr:row>65</xdr:row>
      <xdr:rowOff>124683</xdr:rowOff>
    </xdr:to>
    <xdr:pic>
      <xdr:nvPicPr>
        <xdr:cNvPr id="4" name="Imagen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4689" y="17285932"/>
          <a:ext cx="1027357" cy="994229"/>
        </a:xfrm>
        <a:prstGeom prst="rect">
          <a:avLst/>
        </a:prstGeom>
      </xdr:spPr>
    </xdr:pic>
    <xdr:clientData/>
  </xdr:twoCellAnchor>
  <xdr:twoCellAnchor editAs="oneCell">
    <xdr:from>
      <xdr:col>0</xdr:col>
      <xdr:colOff>219235</xdr:colOff>
      <xdr:row>123</xdr:row>
      <xdr:rowOff>157782</xdr:rowOff>
    </xdr:from>
    <xdr:to>
      <xdr:col>2</xdr:col>
      <xdr:colOff>92177</xdr:colOff>
      <xdr:row>128</xdr:row>
      <xdr:rowOff>50391</xdr:rowOff>
    </xdr:to>
    <xdr:pic>
      <xdr:nvPicPr>
        <xdr:cNvPr id="5" name="Imagen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9235" y="34273669"/>
          <a:ext cx="1040523" cy="988497"/>
        </a:xfrm>
        <a:prstGeom prst="rect">
          <a:avLst/>
        </a:prstGeom>
      </xdr:spPr>
    </xdr:pic>
    <xdr:clientData/>
  </xdr:twoCellAnchor>
  <xdr:twoCellAnchor editAs="oneCell">
    <xdr:from>
      <xdr:col>0</xdr:col>
      <xdr:colOff>267989</xdr:colOff>
      <xdr:row>99</xdr:row>
      <xdr:rowOff>114357</xdr:rowOff>
    </xdr:from>
    <xdr:to>
      <xdr:col>2</xdr:col>
      <xdr:colOff>112662</xdr:colOff>
      <xdr:row>103</xdr:row>
      <xdr:rowOff>174707</xdr:rowOff>
    </xdr:to>
    <xdr:pic>
      <xdr:nvPicPr>
        <xdr:cNvPr id="7" name="Imagen 6">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989" y="27388631"/>
          <a:ext cx="1012254" cy="961641"/>
        </a:xfrm>
        <a:prstGeom prst="rect">
          <a:avLst/>
        </a:prstGeom>
      </xdr:spPr>
    </xdr:pic>
    <xdr:clientData/>
  </xdr:twoCellAnchor>
  <xdr:twoCellAnchor editAs="oneCell">
    <xdr:from>
      <xdr:col>6</xdr:col>
      <xdr:colOff>2034253</xdr:colOff>
      <xdr:row>60</xdr:row>
      <xdr:rowOff>163358</xdr:rowOff>
    </xdr:from>
    <xdr:to>
      <xdr:col>7</xdr:col>
      <xdr:colOff>1061270</xdr:colOff>
      <xdr:row>66</xdr:row>
      <xdr:rowOff>81424</xdr:rowOff>
    </xdr:to>
    <xdr:pic>
      <xdr:nvPicPr>
        <xdr:cNvPr id="8" name="Imagen 7">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9078" y="17079758"/>
          <a:ext cx="1227292" cy="1242040"/>
        </a:xfrm>
        <a:prstGeom prst="rect">
          <a:avLst/>
        </a:prstGeom>
      </xdr:spPr>
    </xdr:pic>
    <xdr:clientData/>
  </xdr:twoCellAnchor>
  <xdr:twoCellAnchor editAs="oneCell">
    <xdr:from>
      <xdr:col>6</xdr:col>
      <xdr:colOff>1971572</xdr:colOff>
      <xdr:row>123</xdr:row>
      <xdr:rowOff>50187</xdr:rowOff>
    </xdr:from>
    <xdr:to>
      <xdr:col>7</xdr:col>
      <xdr:colOff>998589</xdr:colOff>
      <xdr:row>129</xdr:row>
      <xdr:rowOff>19462</xdr:rowOff>
    </xdr:to>
    <xdr:pic>
      <xdr:nvPicPr>
        <xdr:cNvPr id="9" name="Imagen 8">
          <a:extLst>
            <a:ext uri="{FF2B5EF4-FFF2-40B4-BE49-F238E27FC236}">
              <a16:creationId xmlns:a16="http://schemas.microsoft.com/office/drawing/2014/main" id="{00000000-0008-0000-1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397" y="34111587"/>
          <a:ext cx="1227292" cy="1236100"/>
        </a:xfrm>
        <a:prstGeom prst="rect">
          <a:avLst/>
        </a:prstGeom>
      </xdr:spPr>
    </xdr:pic>
    <xdr:clientData/>
  </xdr:twoCellAnchor>
  <xdr:twoCellAnchor editAs="oneCell">
    <xdr:from>
      <xdr:col>6</xdr:col>
      <xdr:colOff>1990313</xdr:colOff>
      <xdr:row>99</xdr:row>
      <xdr:rowOff>36769</xdr:rowOff>
    </xdr:from>
    <xdr:to>
      <xdr:col>7</xdr:col>
      <xdr:colOff>1017330</xdr:colOff>
      <xdr:row>104</xdr:row>
      <xdr:rowOff>139189</xdr:rowOff>
    </xdr:to>
    <xdr:pic>
      <xdr:nvPicPr>
        <xdr:cNvPr id="11" name="Imagen 10">
          <a:extLst>
            <a:ext uri="{FF2B5EF4-FFF2-40B4-BE49-F238E27FC236}">
              <a16:creationId xmlns:a16="http://schemas.microsoft.com/office/drawing/2014/main" id="{00000000-0008-0000-1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05138" y="27154444"/>
          <a:ext cx="1227292" cy="1245420"/>
        </a:xfrm>
        <a:prstGeom prst="rect">
          <a:avLst/>
        </a:prstGeom>
      </xdr:spPr>
    </xdr:pic>
    <xdr:clientData/>
  </xdr:twoCellAnchor>
  <xdr:twoCellAnchor editAs="oneCell">
    <xdr:from>
      <xdr:col>0</xdr:col>
      <xdr:colOff>276533</xdr:colOff>
      <xdr:row>152</xdr:row>
      <xdr:rowOff>40968</xdr:rowOff>
    </xdr:from>
    <xdr:to>
      <xdr:col>2</xdr:col>
      <xdr:colOff>149475</xdr:colOff>
      <xdr:row>156</xdr:row>
      <xdr:rowOff>107691</xdr:rowOff>
    </xdr:to>
    <xdr:pic>
      <xdr:nvPicPr>
        <xdr:cNvPr id="13" name="Imagen 12">
          <a:extLst>
            <a:ext uri="{FF2B5EF4-FFF2-40B4-BE49-F238E27FC236}">
              <a16:creationId xmlns:a16="http://schemas.microsoft.com/office/drawing/2014/main" id="{00000000-0008-0000-1600-00000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6533" y="42350403"/>
          <a:ext cx="1040523" cy="988497"/>
        </a:xfrm>
        <a:prstGeom prst="rect">
          <a:avLst/>
        </a:prstGeom>
      </xdr:spPr>
    </xdr:pic>
    <xdr:clientData/>
  </xdr:twoCellAnchor>
  <xdr:twoCellAnchor editAs="oneCell">
    <xdr:from>
      <xdr:col>6</xdr:col>
      <xdr:colOff>1878268</xdr:colOff>
      <xdr:row>151</xdr:row>
      <xdr:rowOff>381103</xdr:rowOff>
    </xdr:from>
    <xdr:to>
      <xdr:col>7</xdr:col>
      <xdr:colOff>905285</xdr:colOff>
      <xdr:row>157</xdr:row>
      <xdr:rowOff>43120</xdr:rowOff>
    </xdr:to>
    <xdr:pic>
      <xdr:nvPicPr>
        <xdr:cNvPr id="14" name="Imagen 13">
          <a:extLst>
            <a:ext uri="{FF2B5EF4-FFF2-40B4-BE49-F238E27FC236}">
              <a16:creationId xmlns:a16="http://schemas.microsoft.com/office/drawing/2014/main" id="{00000000-0008-0000-16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93093" y="42091078"/>
          <a:ext cx="1227292" cy="1243166"/>
        </a:xfrm>
        <a:prstGeom prst="rect">
          <a:avLst/>
        </a:prstGeom>
      </xdr:spPr>
    </xdr:pic>
    <xdr:clientData/>
  </xdr:twoCellAnchor>
  <xdr:twoCellAnchor editAs="oneCell">
    <xdr:from>
      <xdr:col>6</xdr:col>
      <xdr:colOff>1874480</xdr:colOff>
      <xdr:row>184</xdr:row>
      <xdr:rowOff>71694</xdr:rowOff>
    </xdr:from>
    <xdr:to>
      <xdr:col>7</xdr:col>
      <xdr:colOff>901497</xdr:colOff>
      <xdr:row>189</xdr:row>
      <xdr:rowOff>163872</xdr:rowOff>
    </xdr:to>
    <xdr:pic>
      <xdr:nvPicPr>
        <xdr:cNvPr id="15" name="Imagen 14">
          <a:extLst>
            <a:ext uri="{FF2B5EF4-FFF2-40B4-BE49-F238E27FC236}">
              <a16:creationId xmlns:a16="http://schemas.microsoft.com/office/drawing/2014/main" id="{00000000-0008-0000-1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9305" y="51592419"/>
          <a:ext cx="1227292" cy="1244703"/>
        </a:xfrm>
        <a:prstGeom prst="rect">
          <a:avLst/>
        </a:prstGeom>
      </xdr:spPr>
    </xdr:pic>
    <xdr:clientData/>
  </xdr:twoCellAnchor>
  <xdr:twoCellAnchor editAs="oneCell">
    <xdr:from>
      <xdr:col>0</xdr:col>
      <xdr:colOff>266290</xdr:colOff>
      <xdr:row>184</xdr:row>
      <xdr:rowOff>112662</xdr:rowOff>
    </xdr:from>
    <xdr:to>
      <xdr:col>2</xdr:col>
      <xdr:colOff>139232</xdr:colOff>
      <xdr:row>188</xdr:row>
      <xdr:rowOff>189625</xdr:rowOff>
    </xdr:to>
    <xdr:pic>
      <xdr:nvPicPr>
        <xdr:cNvPr id="16" name="Imagen 15">
          <a:extLst>
            <a:ext uri="{FF2B5EF4-FFF2-40B4-BE49-F238E27FC236}">
              <a16:creationId xmlns:a16="http://schemas.microsoft.com/office/drawing/2014/main" id="{00000000-0008-0000-1600-000010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6290" y="51680807"/>
          <a:ext cx="1040523" cy="988497"/>
        </a:xfrm>
        <a:prstGeom prst="rect">
          <a:avLst/>
        </a:prstGeom>
      </xdr:spPr>
    </xdr:pic>
    <xdr:clientData/>
  </xdr:twoCellAnchor>
  <xdr:twoCellAnchor editAs="oneCell">
    <xdr:from>
      <xdr:col>0</xdr:col>
      <xdr:colOff>337983</xdr:colOff>
      <xdr:row>216</xdr:row>
      <xdr:rowOff>102419</xdr:rowOff>
    </xdr:from>
    <xdr:to>
      <xdr:col>2</xdr:col>
      <xdr:colOff>210925</xdr:colOff>
      <xdr:row>220</xdr:row>
      <xdr:rowOff>189627</xdr:rowOff>
    </xdr:to>
    <xdr:pic>
      <xdr:nvPicPr>
        <xdr:cNvPr id="17" name="Imagen 16">
          <a:extLst>
            <a:ext uri="{FF2B5EF4-FFF2-40B4-BE49-F238E27FC236}">
              <a16:creationId xmlns:a16="http://schemas.microsoft.com/office/drawing/2014/main" id="{00000000-0008-0000-16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7983" y="61543790"/>
          <a:ext cx="1040523" cy="988497"/>
        </a:xfrm>
        <a:prstGeom prst="rect">
          <a:avLst/>
        </a:prstGeom>
      </xdr:spPr>
    </xdr:pic>
    <xdr:clientData/>
  </xdr:twoCellAnchor>
  <xdr:twoCellAnchor editAs="oneCell">
    <xdr:from>
      <xdr:col>0</xdr:col>
      <xdr:colOff>245806</xdr:colOff>
      <xdr:row>243</xdr:row>
      <xdr:rowOff>71693</xdr:rowOff>
    </xdr:from>
    <xdr:to>
      <xdr:col>2</xdr:col>
      <xdr:colOff>118748</xdr:colOff>
      <xdr:row>247</xdr:row>
      <xdr:rowOff>158901</xdr:rowOff>
    </xdr:to>
    <xdr:pic>
      <xdr:nvPicPr>
        <xdr:cNvPr id="18" name="Imagen 17">
          <a:extLst>
            <a:ext uri="{FF2B5EF4-FFF2-40B4-BE49-F238E27FC236}">
              <a16:creationId xmlns:a16="http://schemas.microsoft.com/office/drawing/2014/main" id="{00000000-0008-0000-1600-00001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5806" y="68928225"/>
          <a:ext cx="1040523" cy="988497"/>
        </a:xfrm>
        <a:prstGeom prst="rect">
          <a:avLst/>
        </a:prstGeom>
      </xdr:spPr>
    </xdr:pic>
    <xdr:clientData/>
  </xdr:twoCellAnchor>
  <xdr:twoCellAnchor editAs="oneCell">
    <xdr:from>
      <xdr:col>6</xdr:col>
      <xdr:colOff>1872328</xdr:colOff>
      <xdr:row>215</xdr:row>
      <xdr:rowOff>429342</xdr:rowOff>
    </xdr:from>
    <xdr:to>
      <xdr:col>7</xdr:col>
      <xdr:colOff>899345</xdr:colOff>
      <xdr:row>221</xdr:row>
      <xdr:rowOff>74561</xdr:rowOff>
    </xdr:to>
    <xdr:pic>
      <xdr:nvPicPr>
        <xdr:cNvPr id="19" name="Imagen 18">
          <a:extLst>
            <a:ext uri="{FF2B5EF4-FFF2-40B4-BE49-F238E27FC236}">
              <a16:creationId xmlns:a16="http://schemas.microsoft.com/office/drawing/2014/main" id="{00000000-0008-0000-1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7153" y="61817967"/>
          <a:ext cx="1227292" cy="1245420"/>
        </a:xfrm>
        <a:prstGeom prst="rect">
          <a:avLst/>
        </a:prstGeom>
      </xdr:spPr>
    </xdr:pic>
    <xdr:clientData/>
  </xdr:twoCellAnchor>
  <xdr:twoCellAnchor editAs="oneCell">
    <xdr:from>
      <xdr:col>6</xdr:col>
      <xdr:colOff>2056171</xdr:colOff>
      <xdr:row>243</xdr:row>
      <xdr:rowOff>68110</xdr:rowOff>
    </xdr:from>
    <xdr:to>
      <xdr:col>7</xdr:col>
      <xdr:colOff>1011495</xdr:colOff>
      <xdr:row>248</xdr:row>
      <xdr:rowOff>98838</xdr:rowOff>
    </xdr:to>
    <xdr:pic>
      <xdr:nvPicPr>
        <xdr:cNvPr id="20" name="Imagen 19">
          <a:extLst>
            <a:ext uri="{FF2B5EF4-FFF2-40B4-BE49-F238E27FC236}">
              <a16:creationId xmlns:a16="http://schemas.microsoft.com/office/drawing/2014/main" id="{00000000-0008-0000-16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70996" y="69038635"/>
          <a:ext cx="1155599" cy="117372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266700</xdr:colOff>
      <xdr:row>2</xdr:row>
      <xdr:rowOff>66675</xdr:rowOff>
    </xdr:from>
    <xdr:to>
      <xdr:col>1</xdr:col>
      <xdr:colOff>982532</xdr:colOff>
      <xdr:row>5</xdr:row>
      <xdr:rowOff>198635</xdr:rowOff>
    </xdr:to>
    <xdr:pic>
      <xdr:nvPicPr>
        <xdr:cNvPr id="2" name="Imagen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390525"/>
          <a:ext cx="1001582" cy="960635"/>
        </a:xfrm>
        <a:prstGeom prst="rect">
          <a:avLst/>
        </a:prstGeom>
      </xdr:spPr>
    </xdr:pic>
    <xdr:clientData/>
  </xdr:twoCellAnchor>
  <xdr:twoCellAnchor editAs="oneCell">
    <xdr:from>
      <xdr:col>9</xdr:col>
      <xdr:colOff>800100</xdr:colOff>
      <xdr:row>2</xdr:row>
      <xdr:rowOff>9525</xdr:rowOff>
    </xdr:from>
    <xdr:to>
      <xdr:col>10</xdr:col>
      <xdr:colOff>932017</xdr:colOff>
      <xdr:row>6</xdr:row>
      <xdr:rowOff>143592</xdr:rowOff>
    </xdr:to>
    <xdr:pic>
      <xdr:nvPicPr>
        <xdr:cNvPr id="3" name="Imagen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15350" y="333375"/>
          <a:ext cx="1227292" cy="123896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581025</xdr:colOff>
      <xdr:row>0</xdr:row>
      <xdr:rowOff>123825</xdr:rowOff>
    </xdr:from>
    <xdr:to>
      <xdr:col>8</xdr:col>
      <xdr:colOff>9833</xdr:colOff>
      <xdr:row>6</xdr:row>
      <xdr:rowOff>47933</xdr:rowOff>
    </xdr:to>
    <xdr:pic>
      <xdr:nvPicPr>
        <xdr:cNvPr id="2" name="Imagen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5525" y="123825"/>
          <a:ext cx="1229033" cy="1229033"/>
        </a:xfrm>
        <a:prstGeom prst="rect">
          <a:avLst/>
        </a:prstGeom>
      </xdr:spPr>
    </xdr:pic>
    <xdr:clientData/>
  </xdr:twoCellAnchor>
  <xdr:twoCellAnchor editAs="oneCell">
    <xdr:from>
      <xdr:col>0</xdr:col>
      <xdr:colOff>104775</xdr:colOff>
      <xdr:row>1</xdr:row>
      <xdr:rowOff>57150</xdr:rowOff>
    </xdr:from>
    <xdr:to>
      <xdr:col>2</xdr:col>
      <xdr:colOff>145173</xdr:colOff>
      <xdr:row>5</xdr:row>
      <xdr:rowOff>131247</xdr:rowOff>
    </xdr:to>
    <xdr:pic>
      <xdr:nvPicPr>
        <xdr:cNvPr id="3" name="Imagen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219075"/>
          <a:ext cx="1040523" cy="988497"/>
        </a:xfrm>
        <a:prstGeom prst="rect">
          <a:avLst/>
        </a:prstGeom>
      </xdr:spPr>
    </xdr:pic>
    <xdr:clientData/>
  </xdr:twoCellAnchor>
  <xdr:twoCellAnchor editAs="oneCell">
    <xdr:from>
      <xdr:col>7</xdr:col>
      <xdr:colOff>219075</xdr:colOff>
      <xdr:row>29</xdr:row>
      <xdr:rowOff>0</xdr:rowOff>
    </xdr:from>
    <xdr:to>
      <xdr:col>7</xdr:col>
      <xdr:colOff>1448108</xdr:colOff>
      <xdr:row>34</xdr:row>
      <xdr:rowOff>19358</xdr:rowOff>
    </xdr:to>
    <xdr:pic>
      <xdr:nvPicPr>
        <xdr:cNvPr id="4" name="Imagen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43575" y="8763000"/>
          <a:ext cx="1229033" cy="1229033"/>
        </a:xfrm>
        <a:prstGeom prst="rect">
          <a:avLst/>
        </a:prstGeom>
      </xdr:spPr>
    </xdr:pic>
    <xdr:clientData/>
  </xdr:twoCellAnchor>
  <xdr:twoCellAnchor editAs="oneCell">
    <xdr:from>
      <xdr:col>7</xdr:col>
      <xdr:colOff>142875</xdr:colOff>
      <xdr:row>54</xdr:row>
      <xdr:rowOff>38100</xdr:rowOff>
    </xdr:from>
    <xdr:to>
      <xdr:col>7</xdr:col>
      <xdr:colOff>1371908</xdr:colOff>
      <xdr:row>59</xdr:row>
      <xdr:rowOff>47933</xdr:rowOff>
    </xdr:to>
    <xdr:pic>
      <xdr:nvPicPr>
        <xdr:cNvPr id="5" name="Imagen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67375" y="15754350"/>
          <a:ext cx="1229033" cy="1229033"/>
        </a:xfrm>
        <a:prstGeom prst="rect">
          <a:avLst/>
        </a:prstGeom>
      </xdr:spPr>
    </xdr:pic>
    <xdr:clientData/>
  </xdr:twoCellAnchor>
  <xdr:twoCellAnchor editAs="oneCell">
    <xdr:from>
      <xdr:col>7</xdr:col>
      <xdr:colOff>511175</xdr:colOff>
      <xdr:row>80</xdr:row>
      <xdr:rowOff>73025</xdr:rowOff>
    </xdr:from>
    <xdr:to>
      <xdr:col>7</xdr:col>
      <xdr:colOff>1740208</xdr:colOff>
      <xdr:row>85</xdr:row>
      <xdr:rowOff>127308</xdr:rowOff>
    </xdr:to>
    <xdr:pic>
      <xdr:nvPicPr>
        <xdr:cNvPr id="6" name="Imagen 5">
          <a:extLst>
            <a:ext uri="{FF2B5EF4-FFF2-40B4-BE49-F238E27FC236}">
              <a16:creationId xmlns:a16="http://schemas.microsoft.com/office/drawing/2014/main" id="{00000000-0008-0000-18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035675" y="24234775"/>
          <a:ext cx="1229033" cy="1197283"/>
        </a:xfrm>
        <a:prstGeom prst="rect">
          <a:avLst/>
        </a:prstGeom>
      </xdr:spPr>
    </xdr:pic>
    <xdr:clientData/>
  </xdr:twoCellAnchor>
  <xdr:twoCellAnchor editAs="oneCell">
    <xdr:from>
      <xdr:col>7</xdr:col>
      <xdr:colOff>180975</xdr:colOff>
      <xdr:row>103</xdr:row>
      <xdr:rowOff>19050</xdr:rowOff>
    </xdr:from>
    <xdr:to>
      <xdr:col>7</xdr:col>
      <xdr:colOff>1410008</xdr:colOff>
      <xdr:row>109</xdr:row>
      <xdr:rowOff>9833</xdr:rowOff>
    </xdr:to>
    <xdr:pic>
      <xdr:nvPicPr>
        <xdr:cNvPr id="7" name="Imagen 6">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05475" y="29441775"/>
          <a:ext cx="1229033" cy="1229033"/>
        </a:xfrm>
        <a:prstGeom prst="rect">
          <a:avLst/>
        </a:prstGeom>
      </xdr:spPr>
    </xdr:pic>
    <xdr:clientData/>
  </xdr:twoCellAnchor>
  <xdr:twoCellAnchor editAs="oneCell">
    <xdr:from>
      <xdr:col>0</xdr:col>
      <xdr:colOff>142875</xdr:colOff>
      <xdr:row>29</xdr:row>
      <xdr:rowOff>133350</xdr:rowOff>
    </xdr:from>
    <xdr:to>
      <xdr:col>2</xdr:col>
      <xdr:colOff>183273</xdr:colOff>
      <xdr:row>33</xdr:row>
      <xdr:rowOff>140772</xdr:rowOff>
    </xdr:to>
    <xdr:pic>
      <xdr:nvPicPr>
        <xdr:cNvPr id="8" name="Imagen 7">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8896350"/>
          <a:ext cx="1040523" cy="988497"/>
        </a:xfrm>
        <a:prstGeom prst="rect">
          <a:avLst/>
        </a:prstGeom>
      </xdr:spPr>
    </xdr:pic>
    <xdr:clientData/>
  </xdr:twoCellAnchor>
  <xdr:twoCellAnchor editAs="oneCell">
    <xdr:from>
      <xdr:col>0</xdr:col>
      <xdr:colOff>219075</xdr:colOff>
      <xdr:row>54</xdr:row>
      <xdr:rowOff>161925</xdr:rowOff>
    </xdr:from>
    <xdr:to>
      <xdr:col>2</xdr:col>
      <xdr:colOff>259473</xdr:colOff>
      <xdr:row>58</xdr:row>
      <xdr:rowOff>159822</xdr:rowOff>
    </xdr:to>
    <xdr:pic>
      <xdr:nvPicPr>
        <xdr:cNvPr id="9" name="Imagen 8">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9075" y="15878175"/>
          <a:ext cx="1040523" cy="988497"/>
        </a:xfrm>
        <a:prstGeom prst="rect">
          <a:avLst/>
        </a:prstGeom>
      </xdr:spPr>
    </xdr:pic>
    <xdr:clientData/>
  </xdr:twoCellAnchor>
  <xdr:twoCellAnchor editAs="oneCell">
    <xdr:from>
      <xdr:col>0</xdr:col>
      <xdr:colOff>142875</xdr:colOff>
      <xdr:row>80</xdr:row>
      <xdr:rowOff>66675</xdr:rowOff>
    </xdr:from>
    <xdr:to>
      <xdr:col>2</xdr:col>
      <xdr:colOff>183273</xdr:colOff>
      <xdr:row>84</xdr:row>
      <xdr:rowOff>112197</xdr:rowOff>
    </xdr:to>
    <xdr:pic>
      <xdr:nvPicPr>
        <xdr:cNvPr id="10" name="Imagen 9">
          <a:extLst>
            <a:ext uri="{FF2B5EF4-FFF2-40B4-BE49-F238E27FC236}">
              <a16:creationId xmlns:a16="http://schemas.microsoft.com/office/drawing/2014/main" id="{00000000-0008-0000-1800-00000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23231475"/>
          <a:ext cx="1040523" cy="988497"/>
        </a:xfrm>
        <a:prstGeom prst="rect">
          <a:avLst/>
        </a:prstGeom>
      </xdr:spPr>
    </xdr:pic>
    <xdr:clientData/>
  </xdr:twoCellAnchor>
  <xdr:twoCellAnchor editAs="oneCell">
    <xdr:from>
      <xdr:col>0</xdr:col>
      <xdr:colOff>152400</xdr:colOff>
      <xdr:row>104</xdr:row>
      <xdr:rowOff>95250</xdr:rowOff>
    </xdr:from>
    <xdr:to>
      <xdr:col>2</xdr:col>
      <xdr:colOff>192798</xdr:colOff>
      <xdr:row>108</xdr:row>
      <xdr:rowOff>140772</xdr:rowOff>
    </xdr:to>
    <xdr:pic>
      <xdr:nvPicPr>
        <xdr:cNvPr id="11" name="Imagen 10">
          <a:extLst>
            <a:ext uri="{FF2B5EF4-FFF2-40B4-BE49-F238E27FC236}">
              <a16:creationId xmlns:a16="http://schemas.microsoft.com/office/drawing/2014/main" id="{00000000-0008-0000-18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 y="29584650"/>
          <a:ext cx="1040523" cy="988497"/>
        </a:xfrm>
        <a:prstGeom prst="rect">
          <a:avLst/>
        </a:prstGeom>
      </xdr:spPr>
    </xdr:pic>
    <xdr:clientData/>
  </xdr:twoCellAnchor>
  <xdr:oneCellAnchor>
    <xdr:from>
      <xdr:col>7</xdr:col>
      <xdr:colOff>295275</xdr:colOff>
      <xdr:row>129</xdr:row>
      <xdr:rowOff>19050</xdr:rowOff>
    </xdr:from>
    <xdr:ext cx="1229033" cy="1229033"/>
    <xdr:pic>
      <xdr:nvPicPr>
        <xdr:cNvPr id="12" name="Imagen 11">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819775" y="37252275"/>
          <a:ext cx="1229033" cy="1229033"/>
        </a:xfrm>
        <a:prstGeom prst="rect">
          <a:avLst/>
        </a:prstGeom>
      </xdr:spPr>
    </xdr:pic>
    <xdr:clientData/>
  </xdr:oneCellAnchor>
  <xdr:oneCellAnchor>
    <xdr:from>
      <xdr:col>0</xdr:col>
      <xdr:colOff>152400</xdr:colOff>
      <xdr:row>129</xdr:row>
      <xdr:rowOff>95250</xdr:rowOff>
    </xdr:from>
    <xdr:ext cx="1040523" cy="988497"/>
    <xdr:pic>
      <xdr:nvPicPr>
        <xdr:cNvPr id="13" name="Imagen 12">
          <a:extLst>
            <a:ext uri="{FF2B5EF4-FFF2-40B4-BE49-F238E27FC236}">
              <a16:creationId xmlns:a16="http://schemas.microsoft.com/office/drawing/2014/main" id="{00000000-0008-0000-18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400" y="30365700"/>
          <a:ext cx="1040523" cy="988497"/>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1</xdr:col>
      <xdr:colOff>76201</xdr:colOff>
      <xdr:row>2</xdr:row>
      <xdr:rowOff>104775</xdr:rowOff>
    </xdr:from>
    <xdr:to>
      <xdr:col>1</xdr:col>
      <xdr:colOff>908385</xdr:colOff>
      <xdr:row>5</xdr:row>
      <xdr:rowOff>66675</xdr:rowOff>
    </xdr:to>
    <xdr:pic>
      <xdr:nvPicPr>
        <xdr:cNvPr id="2" name="Imagen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1" y="428625"/>
          <a:ext cx="832184" cy="790575"/>
        </a:xfrm>
        <a:prstGeom prst="rect">
          <a:avLst/>
        </a:prstGeom>
      </xdr:spPr>
    </xdr:pic>
    <xdr:clientData/>
  </xdr:twoCellAnchor>
  <xdr:twoCellAnchor editAs="oneCell">
    <xdr:from>
      <xdr:col>9</xdr:col>
      <xdr:colOff>990599</xdr:colOff>
      <xdr:row>2</xdr:row>
      <xdr:rowOff>47626</xdr:rowOff>
    </xdr:from>
    <xdr:to>
      <xdr:col>10</xdr:col>
      <xdr:colOff>838507</xdr:colOff>
      <xdr:row>5</xdr:row>
      <xdr:rowOff>162234</xdr:rowOff>
    </xdr:to>
    <xdr:pic>
      <xdr:nvPicPr>
        <xdr:cNvPr id="3" name="Imagen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7249" y="371476"/>
          <a:ext cx="943283" cy="94328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161925</xdr:colOff>
      <xdr:row>2</xdr:row>
      <xdr:rowOff>38100</xdr:rowOff>
    </xdr:from>
    <xdr:to>
      <xdr:col>7</xdr:col>
      <xdr:colOff>1390958</xdr:colOff>
      <xdr:row>7</xdr:row>
      <xdr:rowOff>124133</xdr:rowOff>
    </xdr:to>
    <xdr:pic>
      <xdr:nvPicPr>
        <xdr:cNvPr id="2" name="Imagen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7850" y="361950"/>
          <a:ext cx="1229033" cy="1229033"/>
        </a:xfrm>
        <a:prstGeom prst="rect">
          <a:avLst/>
        </a:prstGeom>
      </xdr:spPr>
    </xdr:pic>
    <xdr:clientData/>
  </xdr:twoCellAnchor>
  <xdr:twoCellAnchor editAs="oneCell">
    <xdr:from>
      <xdr:col>0</xdr:col>
      <xdr:colOff>171450</xdr:colOff>
      <xdr:row>2</xdr:row>
      <xdr:rowOff>123825</xdr:rowOff>
    </xdr:from>
    <xdr:to>
      <xdr:col>1</xdr:col>
      <xdr:colOff>485775</xdr:colOff>
      <xdr:row>6</xdr:row>
      <xdr:rowOff>141446</xdr:rowOff>
    </xdr:to>
    <xdr:pic>
      <xdr:nvPicPr>
        <xdr:cNvPr id="3" name="Imagen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447675"/>
          <a:ext cx="981075" cy="9320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14359" name="Rectangle 3">
          <a:extLst>
            <a:ext uri="{FF2B5EF4-FFF2-40B4-BE49-F238E27FC236}">
              <a16:creationId xmlns:a16="http://schemas.microsoft.com/office/drawing/2014/main" id="{00000000-0008-0000-0300-000017380000}"/>
            </a:ext>
          </a:extLst>
        </xdr:cNvPr>
        <xdr:cNvSpPr>
          <a:spLocks noChangeArrowheads="1"/>
        </xdr:cNvSpPr>
      </xdr:nvSpPr>
      <xdr:spPr bwMode="auto">
        <a:xfrm>
          <a:off x="9677400" y="0"/>
          <a:ext cx="0" cy="0"/>
        </a:xfrm>
        <a:prstGeom prst="rect">
          <a:avLst/>
        </a:prstGeom>
        <a:solidFill>
          <a:srgbClr val="FFFFCC"/>
        </a:solidFill>
        <a:ln w="9525">
          <a:solidFill>
            <a:srgbClr val="000000"/>
          </a:solidFill>
          <a:miter lim="800000"/>
          <a:headEnd/>
          <a:tailEnd/>
        </a:ln>
      </xdr:spPr>
    </xdr:sp>
    <xdr:clientData/>
  </xdr:twoCellAnchor>
  <xdr:twoCellAnchor>
    <xdr:from>
      <xdr:col>13</xdr:col>
      <xdr:colOff>0</xdr:colOff>
      <xdr:row>0</xdr:row>
      <xdr:rowOff>0</xdr:rowOff>
    </xdr:from>
    <xdr:to>
      <xdr:col>13</xdr:col>
      <xdr:colOff>0</xdr:colOff>
      <xdr:row>0</xdr:row>
      <xdr:rowOff>0</xdr:rowOff>
    </xdr:to>
    <xdr:sp macro="" textlink="">
      <xdr:nvSpPr>
        <xdr:cNvPr id="2052" name="Rectangle 4">
          <a:extLst>
            <a:ext uri="{FF2B5EF4-FFF2-40B4-BE49-F238E27FC236}">
              <a16:creationId xmlns:a16="http://schemas.microsoft.com/office/drawing/2014/main" id="{00000000-0008-0000-0300-000004080000}"/>
            </a:ext>
          </a:extLst>
        </xdr:cNvPr>
        <xdr:cNvSpPr>
          <a:spLocks noChangeArrowheads="1"/>
        </xdr:cNvSpPr>
      </xdr:nvSpPr>
      <xdr:spPr bwMode="auto">
        <a:xfrm>
          <a:off x="6953250" y="638175"/>
          <a:ext cx="466725" cy="209550"/>
        </a:xfrm>
        <a:prstGeom prst="rect">
          <a:avLst/>
        </a:prstGeom>
        <a:solidFill>
          <a:srgbClr val="C0C0C0"/>
        </a:solidFill>
        <a:ln w="9525">
          <a:solidFill>
            <a:srgbClr val="000000"/>
          </a:solidFill>
          <a:miter lim="800000"/>
          <a:headEnd/>
          <a:tailEnd/>
        </a:ln>
      </xdr:spPr>
      <xdr:txBody>
        <a:bodyPr vertOverflow="clip" wrap="square" lIns="27432" tIns="22860" rIns="0" bIns="0" anchor="t" upright="1"/>
        <a:lstStyle/>
        <a:p>
          <a:pPr algn="l" rtl="0">
            <a:defRPr sz="1000"/>
          </a:pPr>
          <a:endParaRPr lang="es-CL" sz="1000" b="1" i="0" strike="noStrike">
            <a:solidFill>
              <a:srgbClr val="FF9900"/>
            </a:solidFill>
            <a:latin typeface="Arial"/>
            <a:cs typeface="Arial"/>
          </a:endParaRPr>
        </a:p>
        <a:p>
          <a:pPr algn="l" rtl="0">
            <a:defRPr sz="1000"/>
          </a:pPr>
          <a:endParaRPr lang="es-CL" sz="1000" b="1" i="0" strike="noStrike">
            <a:solidFill>
              <a:srgbClr val="FF9900"/>
            </a:solidFill>
            <a:latin typeface="Arial"/>
            <a:cs typeface="Arial"/>
          </a:endParaRPr>
        </a:p>
      </xdr:txBody>
    </xdr:sp>
    <xdr:clientData/>
  </xdr:twoCellAnchor>
  <xdr:twoCellAnchor editAs="oneCell">
    <xdr:from>
      <xdr:col>0</xdr:col>
      <xdr:colOff>173181</xdr:colOff>
      <xdr:row>0</xdr:row>
      <xdr:rowOff>129887</xdr:rowOff>
    </xdr:from>
    <xdr:to>
      <xdr:col>1</xdr:col>
      <xdr:colOff>698063</xdr:colOff>
      <xdr:row>3</xdr:row>
      <xdr:rowOff>130471</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181" y="129887"/>
          <a:ext cx="966496" cy="866493"/>
        </a:xfrm>
        <a:prstGeom prst="rect">
          <a:avLst/>
        </a:prstGeom>
      </xdr:spPr>
    </xdr:pic>
    <xdr:clientData/>
  </xdr:twoCellAnchor>
  <xdr:twoCellAnchor editAs="oneCell">
    <xdr:from>
      <xdr:col>8</xdr:col>
      <xdr:colOff>939685</xdr:colOff>
      <xdr:row>0</xdr:row>
      <xdr:rowOff>25977</xdr:rowOff>
    </xdr:from>
    <xdr:to>
      <xdr:col>13</xdr:col>
      <xdr:colOff>182812</xdr:colOff>
      <xdr:row>4</xdr:row>
      <xdr:rowOff>0</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46276" y="25977"/>
          <a:ext cx="1170641" cy="11343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898228</xdr:colOff>
      <xdr:row>1</xdr:row>
      <xdr:rowOff>21167</xdr:rowOff>
    </xdr:from>
    <xdr:to>
      <xdr:col>9</xdr:col>
      <xdr:colOff>1121835</xdr:colOff>
      <xdr:row>5</xdr:row>
      <xdr:rowOff>169334</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2228" y="285750"/>
          <a:ext cx="1408940" cy="1365251"/>
        </a:xfrm>
        <a:prstGeom prst="rect">
          <a:avLst/>
        </a:prstGeom>
      </xdr:spPr>
    </xdr:pic>
    <xdr:clientData/>
  </xdr:twoCellAnchor>
  <xdr:twoCellAnchor editAs="oneCell">
    <xdr:from>
      <xdr:col>0</xdr:col>
      <xdr:colOff>190500</xdr:colOff>
      <xdr:row>1</xdr:row>
      <xdr:rowOff>116417</xdr:rowOff>
    </xdr:from>
    <xdr:to>
      <xdr:col>1</xdr:col>
      <xdr:colOff>899583</xdr:colOff>
      <xdr:row>5</xdr:row>
      <xdr:rowOff>10582</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381000"/>
          <a:ext cx="1143000" cy="11112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97491</xdr:colOff>
      <xdr:row>0</xdr:row>
      <xdr:rowOff>70860</xdr:rowOff>
    </xdr:from>
    <xdr:to>
      <xdr:col>14</xdr:col>
      <xdr:colOff>620735</xdr:colOff>
      <xdr:row>5</xdr:row>
      <xdr:rowOff>16563</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83274" y="70860"/>
          <a:ext cx="1326657" cy="1312333"/>
        </a:xfrm>
        <a:prstGeom prst="rect">
          <a:avLst/>
        </a:prstGeom>
      </xdr:spPr>
    </xdr:pic>
    <xdr:clientData/>
  </xdr:twoCellAnchor>
  <xdr:twoCellAnchor editAs="oneCell">
    <xdr:from>
      <xdr:col>0</xdr:col>
      <xdr:colOff>207065</xdr:colOff>
      <xdr:row>0</xdr:row>
      <xdr:rowOff>149548</xdr:rowOff>
    </xdr:from>
    <xdr:to>
      <xdr:col>1</xdr:col>
      <xdr:colOff>984965</xdr:colOff>
      <xdr:row>3</xdr:row>
      <xdr:rowOff>215347</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065" y="149548"/>
          <a:ext cx="1067791" cy="10265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43961</xdr:colOff>
      <xdr:row>1</xdr:row>
      <xdr:rowOff>63252</xdr:rowOff>
    </xdr:from>
    <xdr:to>
      <xdr:col>2</xdr:col>
      <xdr:colOff>338474</xdr:colOff>
      <xdr:row>5</xdr:row>
      <xdr:rowOff>2156</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961" y="224444"/>
          <a:ext cx="895321" cy="862097"/>
        </a:xfrm>
        <a:prstGeom prst="rect">
          <a:avLst/>
        </a:prstGeom>
      </xdr:spPr>
    </xdr:pic>
    <xdr:clientData/>
  </xdr:twoCellAnchor>
  <xdr:twoCellAnchor editAs="oneCell">
    <xdr:from>
      <xdr:col>7</xdr:col>
      <xdr:colOff>65344</xdr:colOff>
      <xdr:row>0</xdr:row>
      <xdr:rowOff>153118</xdr:rowOff>
    </xdr:from>
    <xdr:to>
      <xdr:col>8</xdr:col>
      <xdr:colOff>132019</xdr:colOff>
      <xdr:row>5</xdr:row>
      <xdr:rowOff>110547</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89440" y="153118"/>
          <a:ext cx="1092444" cy="10418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68037</xdr:colOff>
      <xdr:row>1</xdr:row>
      <xdr:rowOff>48598</xdr:rowOff>
    </xdr:from>
    <xdr:to>
      <xdr:col>2</xdr:col>
      <xdr:colOff>251113</xdr:colOff>
      <xdr:row>5</xdr:row>
      <xdr:rowOff>19741</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7" y="273734"/>
          <a:ext cx="919099" cy="889007"/>
        </a:xfrm>
        <a:prstGeom prst="rect">
          <a:avLst/>
        </a:prstGeom>
      </xdr:spPr>
    </xdr:pic>
    <xdr:clientData/>
  </xdr:twoCellAnchor>
  <xdr:twoCellAnchor editAs="oneCell">
    <xdr:from>
      <xdr:col>7</xdr:col>
      <xdr:colOff>206522</xdr:colOff>
      <xdr:row>0</xdr:row>
      <xdr:rowOff>163109</xdr:rowOff>
    </xdr:from>
    <xdr:to>
      <xdr:col>8</xdr:col>
      <xdr:colOff>112302</xdr:colOff>
      <xdr:row>5</xdr:row>
      <xdr:rowOff>121227</xdr:rowOff>
    </xdr:to>
    <xdr:pic>
      <xdr:nvPicPr>
        <xdr:cNvPr id="3" name="Imagen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67340" y="163109"/>
          <a:ext cx="1135371" cy="11011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145275</xdr:colOff>
      <xdr:row>0</xdr:row>
      <xdr:rowOff>114300</xdr:rowOff>
    </xdr:from>
    <xdr:to>
      <xdr:col>8</xdr:col>
      <xdr:colOff>21450</xdr:colOff>
      <xdr:row>5</xdr:row>
      <xdr:rowOff>190500</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36375" y="114300"/>
          <a:ext cx="1095375" cy="1095375"/>
        </a:xfrm>
        <a:prstGeom prst="rect">
          <a:avLst/>
        </a:prstGeom>
      </xdr:spPr>
    </xdr:pic>
    <xdr:clientData/>
  </xdr:twoCellAnchor>
  <xdr:twoCellAnchor editAs="oneCell">
    <xdr:from>
      <xdr:col>0</xdr:col>
      <xdr:colOff>104776</xdr:colOff>
      <xdr:row>1</xdr:row>
      <xdr:rowOff>57150</xdr:rowOff>
    </xdr:from>
    <xdr:to>
      <xdr:col>3</xdr:col>
      <xdr:colOff>82217</xdr:colOff>
      <xdr:row>5</xdr:row>
      <xdr:rowOff>57150</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6" y="238125"/>
          <a:ext cx="882316" cy="838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1</xdr:row>
      <xdr:rowOff>38101</xdr:rowOff>
    </xdr:from>
    <xdr:to>
      <xdr:col>3</xdr:col>
      <xdr:colOff>104775</xdr:colOff>
      <xdr:row>5</xdr:row>
      <xdr:rowOff>28100</xdr:rowOff>
    </xdr:to>
    <xdr:pic>
      <xdr:nvPicPr>
        <xdr:cNvPr id="3" name="Imagen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200026"/>
          <a:ext cx="962025" cy="913924"/>
        </a:xfrm>
        <a:prstGeom prst="rect">
          <a:avLst/>
        </a:prstGeom>
      </xdr:spPr>
    </xdr:pic>
    <xdr:clientData/>
  </xdr:twoCellAnchor>
  <xdr:twoCellAnchor editAs="oneCell">
    <xdr:from>
      <xdr:col>6</xdr:col>
      <xdr:colOff>2826524</xdr:colOff>
      <xdr:row>0</xdr:row>
      <xdr:rowOff>73799</xdr:rowOff>
    </xdr:from>
    <xdr:to>
      <xdr:col>8</xdr:col>
      <xdr:colOff>85724</xdr:colOff>
      <xdr:row>5</xdr:row>
      <xdr:rowOff>219074</xdr:rowOff>
    </xdr:to>
    <xdr:pic>
      <xdr:nvPicPr>
        <xdr:cNvPr id="4" name="Imagen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69649" y="73799"/>
          <a:ext cx="1231125" cy="1231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15</xdr:col>
      <xdr:colOff>312027</xdr:colOff>
      <xdr:row>0</xdr:row>
      <xdr:rowOff>65690</xdr:rowOff>
    </xdr:from>
    <xdr:to>
      <xdr:col>16</xdr:col>
      <xdr:colOff>517306</xdr:colOff>
      <xdr:row>3</xdr:row>
      <xdr:rowOff>210889</xdr:rowOff>
    </xdr:to>
    <xdr:pic>
      <xdr:nvPicPr>
        <xdr:cNvPr id="2" name="Imagen 1">
          <a:extLst>
            <a:ext uri="{FF2B5EF4-FFF2-40B4-BE49-F238E27FC236}">
              <a16:creationId xmlns:a16="http://schemas.microsoft.com/office/drawing/2014/main" id="{00000000-0008-0000-14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831" b="9512"/>
        <a:stretch/>
      </xdr:blipFill>
      <xdr:spPr>
        <a:xfrm>
          <a:off x="12694527" y="65690"/>
          <a:ext cx="1026400" cy="859574"/>
        </a:xfrm>
        <a:prstGeom prst="rect">
          <a:avLst/>
        </a:prstGeom>
      </xdr:spPr>
    </xdr:pic>
    <xdr:clientData/>
  </xdr:twoCellAnchor>
  <xdr:twoCellAnchor editAs="oneCell">
    <xdr:from>
      <xdr:col>0</xdr:col>
      <xdr:colOff>205280</xdr:colOff>
      <xdr:row>0</xdr:row>
      <xdr:rowOff>65691</xdr:rowOff>
    </xdr:from>
    <xdr:to>
      <xdr:col>1</xdr:col>
      <xdr:colOff>793971</xdr:colOff>
      <xdr:row>3</xdr:row>
      <xdr:rowOff>205280</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280" y="65691"/>
          <a:ext cx="884294" cy="853964"/>
        </a:xfrm>
        <a:prstGeom prst="rect">
          <a:avLst/>
        </a:prstGeom>
      </xdr:spPr>
    </xdr:pic>
    <xdr:clientData/>
  </xdr:twoCellAnchor>
</xdr:wsDr>
</file>

<file path=xl/theme/theme1.xml><?xml version="1.0" encoding="utf-8"?>
<a:theme xmlns:a="http://schemas.openxmlformats.org/drawingml/2006/main" name="Tema de Office">
  <a:themeElements>
    <a:clrScheme name="Personalizado 1">
      <a:dk1>
        <a:sysClr val="windowText" lastClr="000000"/>
      </a:dk1>
      <a:lt1>
        <a:sysClr val="window" lastClr="FFFFFF"/>
      </a:lt1>
      <a:dk2>
        <a:srgbClr val="1F497D"/>
      </a:dk2>
      <a:lt2>
        <a:srgbClr val="EEECE1"/>
      </a:lt2>
      <a:accent1>
        <a:srgbClr val="C3D69B"/>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1.xml"/><Relationship Id="rId1" Type="http://schemas.openxmlformats.org/officeDocument/2006/relationships/printerSettings" Target="../printerSettings/printerSettings22.bin"/><Relationship Id="rId4" Type="http://schemas.openxmlformats.org/officeDocument/2006/relationships/comments" Target="../comments15.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topLeftCell="A4" workbookViewId="0">
      <selection activeCell="I27" sqref="I27"/>
    </sheetView>
  </sheetViews>
  <sheetFormatPr baseColWidth="10" defaultRowHeight="12.75"/>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2:R97"/>
  <sheetViews>
    <sheetView zoomScaleNormal="100" workbookViewId="0">
      <selection activeCell="E14" sqref="E14"/>
    </sheetView>
  </sheetViews>
  <sheetFormatPr baseColWidth="10" defaultRowHeight="14.25"/>
  <cols>
    <col min="1" max="1" width="4.140625" style="6" customWidth="1"/>
    <col min="2" max="3" width="4.7109375" style="6" customWidth="1"/>
    <col min="4" max="4" width="5.5703125" style="6" customWidth="1"/>
    <col min="5" max="5" width="5.42578125" style="6" customWidth="1"/>
    <col min="6" max="6" width="7.28515625" style="284" customWidth="1"/>
    <col min="7" max="7" width="43" style="8" customWidth="1"/>
    <col min="8" max="8" width="18.28515625" style="84" customWidth="1"/>
    <col min="9" max="9" width="14.42578125" style="201" bestFit="1" customWidth="1"/>
    <col min="10" max="10" width="11.85546875" bestFit="1" customWidth="1"/>
    <col min="11" max="11" width="7.5703125" style="210" customWidth="1"/>
    <col min="12" max="18" width="11.42578125" style="201"/>
  </cols>
  <sheetData>
    <row r="2" spans="1:18" ht="16.5">
      <c r="A2" s="1541" t="s">
        <v>79</v>
      </c>
      <c r="B2" s="1541"/>
      <c r="C2" s="1541"/>
      <c r="D2" s="1541"/>
      <c r="E2" s="1541"/>
      <c r="F2" s="1541"/>
      <c r="G2" s="1541"/>
      <c r="H2" s="1541"/>
    </row>
    <row r="3" spans="1:18" ht="16.5">
      <c r="A3" s="1541" t="s">
        <v>78</v>
      </c>
      <c r="B3" s="1541"/>
      <c r="C3" s="1541"/>
      <c r="D3" s="1541"/>
      <c r="E3" s="1541"/>
      <c r="F3" s="1541"/>
      <c r="G3" s="1541"/>
      <c r="H3" s="1541"/>
    </row>
    <row r="4" spans="1:18" ht="16.5">
      <c r="A4" s="1542" t="s">
        <v>1039</v>
      </c>
      <c r="B4" s="1542"/>
      <c r="C4" s="1542"/>
      <c r="D4" s="1542"/>
      <c r="E4" s="1542"/>
      <c r="F4" s="1542"/>
      <c r="G4" s="1542"/>
      <c r="H4" s="1542"/>
    </row>
    <row r="5" spans="1:18" ht="16.5">
      <c r="A5" s="1542" t="s">
        <v>790</v>
      </c>
      <c r="B5" s="1542"/>
      <c r="C5" s="1542"/>
      <c r="D5" s="1542"/>
      <c r="E5" s="1542"/>
      <c r="F5" s="1542"/>
      <c r="G5" s="1542"/>
      <c r="H5" s="1542"/>
    </row>
    <row r="6" spans="1:18" ht="16.5">
      <c r="A6" s="1208"/>
      <c r="B6" s="1208"/>
      <c r="C6" s="1208"/>
      <c r="D6" s="1208"/>
      <c r="E6" s="1208"/>
      <c r="F6" s="1208"/>
      <c r="G6" s="1208"/>
      <c r="H6" s="1208"/>
    </row>
    <row r="7" spans="1:18" ht="16.5">
      <c r="A7" s="1543" t="s">
        <v>23</v>
      </c>
      <c r="B7" s="1544"/>
      <c r="C7" s="1544"/>
      <c r="D7" s="1544"/>
      <c r="E7" s="1544"/>
      <c r="F7" s="1544"/>
      <c r="G7" s="1544"/>
      <c r="H7" s="1545"/>
      <c r="J7" s="201"/>
    </row>
    <row r="8" spans="1:18" ht="21.75" customHeight="1">
      <c r="A8" s="1535" t="s">
        <v>765</v>
      </c>
      <c r="B8" s="1536"/>
      <c r="C8" s="1536"/>
      <c r="D8" s="1536"/>
      <c r="E8" s="1536"/>
      <c r="F8" s="1536"/>
      <c r="G8" s="1536"/>
      <c r="H8" s="1536"/>
    </row>
    <row r="9" spans="1:18">
      <c r="A9" s="1537" t="s">
        <v>8</v>
      </c>
      <c r="B9" s="1537"/>
      <c r="C9" s="1537"/>
      <c r="D9" s="1537"/>
      <c r="E9" s="1537"/>
      <c r="F9" s="1537"/>
      <c r="G9" s="1525" t="s">
        <v>20</v>
      </c>
      <c r="H9" s="1539" t="s">
        <v>27</v>
      </c>
      <c r="I9" s="98"/>
      <c r="K9" s="211"/>
      <c r="L9" s="98"/>
      <c r="M9" s="98"/>
      <c r="N9" s="98"/>
      <c r="O9" s="98"/>
      <c r="P9" s="98"/>
      <c r="Q9" s="98"/>
      <c r="R9" s="98"/>
    </row>
    <row r="10" spans="1:18" ht="88.5" customHeight="1">
      <c r="A10" s="467" t="s">
        <v>796</v>
      </c>
      <c r="B10" s="468" t="s">
        <v>179</v>
      </c>
      <c r="C10" s="467" t="s">
        <v>797</v>
      </c>
      <c r="D10" s="778" t="s">
        <v>21</v>
      </c>
      <c r="E10" s="469" t="s">
        <v>314</v>
      </c>
      <c r="F10" s="470" t="s">
        <v>19</v>
      </c>
      <c r="G10" s="1538"/>
      <c r="H10" s="1540"/>
      <c r="I10" s="98"/>
      <c r="K10" s="211"/>
      <c r="L10" s="98"/>
      <c r="M10" s="98"/>
      <c r="N10" s="98"/>
      <c r="O10" s="98"/>
      <c r="P10" s="98"/>
      <c r="Q10" s="98"/>
      <c r="R10" s="98"/>
    </row>
    <row r="11" spans="1:18" s="414" customFormat="1" ht="15">
      <c r="A11" s="471">
        <v>6</v>
      </c>
      <c r="B11" s="472" t="s">
        <v>33</v>
      </c>
      <c r="C11" s="472" t="s">
        <v>33</v>
      </c>
      <c r="D11" s="471">
        <v>1</v>
      </c>
      <c r="E11" s="471">
        <v>120</v>
      </c>
      <c r="F11" s="473">
        <v>51101</v>
      </c>
      <c r="G11" s="474" t="s">
        <v>380</v>
      </c>
      <c r="H11" s="344">
        <f>I11</f>
        <v>46784</v>
      </c>
      <c r="I11" s="201">
        <f>46584+200</f>
        <v>46784</v>
      </c>
      <c r="J11" s="1297">
        <f>I11+200</f>
        <v>46984</v>
      </c>
      <c r="K11" s="475"/>
      <c r="L11" s="476"/>
      <c r="M11" s="476"/>
      <c r="N11" s="476"/>
      <c r="O11" s="476"/>
      <c r="P11" s="476"/>
      <c r="Q11" s="476"/>
      <c r="R11" s="476"/>
    </row>
    <row r="12" spans="1:18" ht="15">
      <c r="A12" s="63">
        <v>6</v>
      </c>
      <c r="B12" s="60" t="s">
        <v>33</v>
      </c>
      <c r="C12" s="60" t="s">
        <v>33</v>
      </c>
      <c r="D12" s="63">
        <v>1</v>
      </c>
      <c r="E12" s="63">
        <v>120</v>
      </c>
      <c r="F12" s="406">
        <v>51202</v>
      </c>
      <c r="G12" s="225" t="s">
        <v>85</v>
      </c>
      <c r="H12" s="344">
        <f>I12</f>
        <v>67556</v>
      </c>
      <c r="I12" s="201">
        <f>55628+3000+8928</f>
        <v>67556</v>
      </c>
      <c r="J12" s="209"/>
      <c r="K12" s="201"/>
      <c r="L12" s="210"/>
      <c r="R12"/>
    </row>
    <row r="13" spans="1:18" ht="15">
      <c r="A13" s="63">
        <v>6</v>
      </c>
      <c r="B13" s="60" t="s">
        <v>33</v>
      </c>
      <c r="C13" s="60" t="s">
        <v>33</v>
      </c>
      <c r="D13" s="63">
        <v>1</v>
      </c>
      <c r="E13" s="63">
        <v>120</v>
      </c>
      <c r="F13" s="406">
        <v>51203</v>
      </c>
      <c r="G13" s="225" t="s">
        <v>82</v>
      </c>
      <c r="H13" s="344">
        <f t="shared" ref="H13:H56" si="0">I13</f>
        <v>3882</v>
      </c>
      <c r="I13" s="201">
        <v>3882</v>
      </c>
      <c r="K13" s="201"/>
      <c r="L13" s="210"/>
      <c r="R13"/>
    </row>
    <row r="14" spans="1:18" ht="15">
      <c r="A14" s="63">
        <v>6</v>
      </c>
      <c r="B14" s="60" t="s">
        <v>33</v>
      </c>
      <c r="C14" s="60" t="s">
        <v>33</v>
      </c>
      <c r="D14" s="63">
        <v>1</v>
      </c>
      <c r="E14" s="63">
        <v>120</v>
      </c>
      <c r="F14" s="406">
        <v>51207</v>
      </c>
      <c r="G14" s="225" t="s">
        <v>170</v>
      </c>
      <c r="H14" s="344">
        <f t="shared" si="0"/>
        <v>3882</v>
      </c>
      <c r="I14" s="201">
        <v>3882</v>
      </c>
      <c r="K14" s="201"/>
      <c r="L14" s="210"/>
      <c r="R14"/>
    </row>
    <row r="15" spans="1:18" ht="15">
      <c r="A15" s="63">
        <v>6</v>
      </c>
      <c r="B15" s="60" t="s">
        <v>33</v>
      </c>
      <c r="C15" s="60" t="s">
        <v>33</v>
      </c>
      <c r="D15" s="63">
        <v>1</v>
      </c>
      <c r="E15" s="63">
        <v>120</v>
      </c>
      <c r="F15" s="142" t="s">
        <v>89</v>
      </c>
      <c r="G15" s="273" t="s">
        <v>90</v>
      </c>
      <c r="H15" s="344">
        <f t="shared" si="0"/>
        <v>4843.68</v>
      </c>
      <c r="I15" s="201">
        <v>4843.68</v>
      </c>
      <c r="K15" s="201"/>
      <c r="L15" s="210"/>
      <c r="R15"/>
    </row>
    <row r="16" spans="1:18" ht="15">
      <c r="A16" s="63">
        <v>6</v>
      </c>
      <c r="B16" s="60" t="s">
        <v>33</v>
      </c>
      <c r="C16" s="60" t="s">
        <v>33</v>
      </c>
      <c r="D16" s="63">
        <v>1</v>
      </c>
      <c r="E16" s="63">
        <v>120</v>
      </c>
      <c r="F16" s="142" t="s">
        <v>91</v>
      </c>
      <c r="G16" s="273" t="s">
        <v>92</v>
      </c>
      <c r="H16" s="344">
        <f t="shared" si="0"/>
        <v>4613.68</v>
      </c>
      <c r="I16" s="201">
        <v>4613.68</v>
      </c>
      <c r="K16" s="201"/>
      <c r="L16" s="210"/>
      <c r="R16"/>
    </row>
    <row r="17" spans="1:18" ht="15">
      <c r="A17" s="63">
        <v>6</v>
      </c>
      <c r="B17" s="60" t="s">
        <v>33</v>
      </c>
      <c r="C17" s="60" t="s">
        <v>33</v>
      </c>
      <c r="D17" s="63">
        <v>1</v>
      </c>
      <c r="E17" s="63">
        <v>120</v>
      </c>
      <c r="F17" s="207" t="s">
        <v>963</v>
      </c>
      <c r="G17" s="273" t="s">
        <v>964</v>
      </c>
      <c r="H17" s="344">
        <v>4000</v>
      </c>
      <c r="K17" s="201"/>
      <c r="L17" s="210"/>
      <c r="R17"/>
    </row>
    <row r="18" spans="1:18" ht="15">
      <c r="A18" s="63">
        <v>6</v>
      </c>
      <c r="B18" s="60" t="s">
        <v>33</v>
      </c>
      <c r="C18" s="60" t="s">
        <v>33</v>
      </c>
      <c r="D18" s="63">
        <v>1</v>
      </c>
      <c r="E18" s="63">
        <v>120</v>
      </c>
      <c r="F18" s="348" t="s">
        <v>425</v>
      </c>
      <c r="G18" s="273" t="s">
        <v>426</v>
      </c>
      <c r="H18" s="344">
        <v>2215.3200000000002</v>
      </c>
      <c r="I18" s="201">
        <f>2600+1500</f>
        <v>4100</v>
      </c>
      <c r="J18" s="213"/>
      <c r="K18" s="201"/>
      <c r="L18" s="210"/>
      <c r="R18"/>
    </row>
    <row r="19" spans="1:18" ht="15" hidden="1">
      <c r="A19" s="63">
        <v>6</v>
      </c>
      <c r="B19" s="60" t="s">
        <v>33</v>
      </c>
      <c r="C19" s="60" t="s">
        <v>33</v>
      </c>
      <c r="D19" s="63">
        <v>1</v>
      </c>
      <c r="E19" s="63">
        <v>120</v>
      </c>
      <c r="F19" s="207" t="s">
        <v>599</v>
      </c>
      <c r="G19" s="273" t="s">
        <v>600</v>
      </c>
      <c r="H19" s="344">
        <f t="shared" si="0"/>
        <v>0</v>
      </c>
      <c r="J19" s="201"/>
      <c r="K19" s="201"/>
    </row>
    <row r="20" spans="1:18" ht="15">
      <c r="A20" s="63">
        <v>6</v>
      </c>
      <c r="B20" s="60" t="s">
        <v>33</v>
      </c>
      <c r="C20" s="60" t="s">
        <v>33</v>
      </c>
      <c r="D20" s="63">
        <v>1</v>
      </c>
      <c r="E20" s="63">
        <v>120</v>
      </c>
      <c r="F20" s="207" t="s">
        <v>535</v>
      </c>
      <c r="G20" s="273" t="s">
        <v>552</v>
      </c>
      <c r="H20" s="344">
        <f t="shared" si="0"/>
        <v>1500</v>
      </c>
      <c r="I20" s="201">
        <v>1500</v>
      </c>
      <c r="J20" s="201"/>
      <c r="K20" s="214"/>
    </row>
    <row r="21" spans="1:18" ht="15" hidden="1">
      <c r="A21" s="63">
        <v>6</v>
      </c>
      <c r="B21" s="60" t="s">
        <v>33</v>
      </c>
      <c r="C21" s="60" t="s">
        <v>33</v>
      </c>
      <c r="D21" s="63">
        <v>1</v>
      </c>
      <c r="E21" s="63">
        <v>120</v>
      </c>
      <c r="F21" s="207" t="s">
        <v>455</v>
      </c>
      <c r="G21" s="273" t="s">
        <v>456</v>
      </c>
      <c r="H21" s="344">
        <f t="shared" si="0"/>
        <v>0</v>
      </c>
    </row>
    <row r="22" spans="1:18" ht="15">
      <c r="A22" s="63">
        <v>6</v>
      </c>
      <c r="B22" s="60" t="s">
        <v>33</v>
      </c>
      <c r="C22" s="60" t="s">
        <v>33</v>
      </c>
      <c r="D22" s="63">
        <v>1</v>
      </c>
      <c r="E22" s="63">
        <v>120</v>
      </c>
      <c r="F22" s="207" t="s">
        <v>684</v>
      </c>
      <c r="G22" s="273" t="s">
        <v>683</v>
      </c>
      <c r="H22" s="344">
        <f t="shared" si="0"/>
        <v>2000</v>
      </c>
      <c r="I22" s="201">
        <v>2000</v>
      </c>
    </row>
    <row r="23" spans="1:18" ht="15">
      <c r="A23" s="63">
        <v>6</v>
      </c>
      <c r="B23" s="60" t="s">
        <v>33</v>
      </c>
      <c r="C23" s="60" t="s">
        <v>33</v>
      </c>
      <c r="D23" s="63">
        <v>1</v>
      </c>
      <c r="E23" s="63">
        <v>120</v>
      </c>
      <c r="F23" s="406">
        <v>54107</v>
      </c>
      <c r="G23" s="225" t="s">
        <v>921</v>
      </c>
      <c r="H23" s="344">
        <f t="shared" si="0"/>
        <v>5500</v>
      </c>
      <c r="I23" s="201">
        <f>4500+1000</f>
        <v>5500</v>
      </c>
    </row>
    <row r="24" spans="1:18" ht="15">
      <c r="A24" s="63">
        <v>6</v>
      </c>
      <c r="B24" s="60" t="s">
        <v>33</v>
      </c>
      <c r="C24" s="60" t="s">
        <v>33</v>
      </c>
      <c r="D24" s="63">
        <v>1</v>
      </c>
      <c r="E24" s="63">
        <v>120</v>
      </c>
      <c r="F24" s="406">
        <v>54109</v>
      </c>
      <c r="G24" s="225" t="s">
        <v>133</v>
      </c>
      <c r="H24" s="344">
        <f t="shared" si="0"/>
        <v>1500</v>
      </c>
      <c r="I24" s="201">
        <v>1500</v>
      </c>
    </row>
    <row r="25" spans="1:18" ht="15" hidden="1">
      <c r="A25" s="63">
        <v>6</v>
      </c>
      <c r="B25" s="60" t="s">
        <v>33</v>
      </c>
      <c r="C25" s="60" t="s">
        <v>33</v>
      </c>
      <c r="D25" s="63">
        <v>1</v>
      </c>
      <c r="E25" s="63">
        <v>120</v>
      </c>
      <c r="F25" s="406">
        <v>54110</v>
      </c>
      <c r="G25" s="225" t="s">
        <v>766</v>
      </c>
      <c r="H25" s="344">
        <f t="shared" si="0"/>
        <v>0</v>
      </c>
    </row>
    <row r="26" spans="1:18" ht="15">
      <c r="A26" s="63">
        <v>6</v>
      </c>
      <c r="B26" s="60" t="s">
        <v>33</v>
      </c>
      <c r="C26" s="60" t="s">
        <v>33</v>
      </c>
      <c r="D26" s="63">
        <v>1</v>
      </c>
      <c r="E26" s="63">
        <v>120</v>
      </c>
      <c r="F26" s="406">
        <v>54111</v>
      </c>
      <c r="G26" s="225" t="s">
        <v>309</v>
      </c>
      <c r="H26" s="344">
        <f t="shared" si="0"/>
        <v>4100</v>
      </c>
      <c r="I26" s="201">
        <v>4100</v>
      </c>
    </row>
    <row r="27" spans="1:18" ht="15">
      <c r="A27" s="63">
        <v>6</v>
      </c>
      <c r="B27" s="60" t="s">
        <v>33</v>
      </c>
      <c r="C27" s="60" t="s">
        <v>33</v>
      </c>
      <c r="D27" s="63">
        <v>1</v>
      </c>
      <c r="E27" s="63">
        <v>120</v>
      </c>
      <c r="F27" s="406">
        <v>54112</v>
      </c>
      <c r="G27" s="225" t="s">
        <v>920</v>
      </c>
      <c r="H27" s="344">
        <f t="shared" si="0"/>
        <v>2100</v>
      </c>
      <c r="I27" s="201">
        <v>2100</v>
      </c>
    </row>
    <row r="28" spans="1:18" ht="15" hidden="1">
      <c r="A28" s="63">
        <v>6</v>
      </c>
      <c r="B28" s="60" t="s">
        <v>33</v>
      </c>
      <c r="C28" s="60" t="s">
        <v>33</v>
      </c>
      <c r="D28" s="63">
        <v>1</v>
      </c>
      <c r="E28" s="63">
        <v>120</v>
      </c>
      <c r="F28" s="406">
        <v>54114</v>
      </c>
      <c r="G28" s="225" t="s">
        <v>137</v>
      </c>
      <c r="H28" s="344">
        <f t="shared" si="0"/>
        <v>0</v>
      </c>
    </row>
    <row r="29" spans="1:18" ht="15" hidden="1">
      <c r="A29" s="63">
        <v>6</v>
      </c>
      <c r="B29" s="60" t="s">
        <v>33</v>
      </c>
      <c r="C29" s="60" t="s">
        <v>33</v>
      </c>
      <c r="D29" s="63">
        <v>1</v>
      </c>
      <c r="E29" s="63">
        <v>120</v>
      </c>
      <c r="F29" s="406">
        <v>54115</v>
      </c>
      <c r="G29" s="225" t="s">
        <v>919</v>
      </c>
      <c r="H29" s="344">
        <f t="shared" si="0"/>
        <v>0</v>
      </c>
    </row>
    <row r="30" spans="1:18" ht="15">
      <c r="A30" s="63">
        <v>6</v>
      </c>
      <c r="B30" s="60" t="s">
        <v>33</v>
      </c>
      <c r="C30" s="60" t="s">
        <v>33</v>
      </c>
      <c r="D30" s="63">
        <v>1</v>
      </c>
      <c r="E30" s="63">
        <v>120</v>
      </c>
      <c r="F30" s="406">
        <v>54117</v>
      </c>
      <c r="G30" s="225" t="s">
        <v>427</v>
      </c>
      <c r="H30" s="344">
        <f t="shared" si="0"/>
        <v>1966.1</v>
      </c>
      <c r="I30" s="201">
        <v>1966.1</v>
      </c>
    </row>
    <row r="31" spans="1:18" ht="15">
      <c r="A31" s="63">
        <v>6</v>
      </c>
      <c r="B31" s="60" t="s">
        <v>33</v>
      </c>
      <c r="C31" s="60" t="s">
        <v>33</v>
      </c>
      <c r="D31" s="63">
        <v>1</v>
      </c>
      <c r="E31" s="63">
        <v>120</v>
      </c>
      <c r="F31" s="406">
        <v>54118</v>
      </c>
      <c r="G31" s="225" t="s">
        <v>918</v>
      </c>
      <c r="H31" s="344">
        <f t="shared" si="0"/>
        <v>1600</v>
      </c>
      <c r="I31" s="201">
        <v>1600</v>
      </c>
    </row>
    <row r="32" spans="1:18" ht="15" hidden="1">
      <c r="A32" s="63">
        <v>6</v>
      </c>
      <c r="B32" s="60" t="s">
        <v>33</v>
      </c>
      <c r="C32" s="60" t="s">
        <v>33</v>
      </c>
      <c r="D32" s="63">
        <v>1</v>
      </c>
      <c r="E32" s="63">
        <v>120</v>
      </c>
      <c r="F32" s="406">
        <v>54119</v>
      </c>
      <c r="G32" s="225" t="s">
        <v>141</v>
      </c>
      <c r="H32" s="344">
        <f t="shared" si="0"/>
        <v>0</v>
      </c>
    </row>
    <row r="33" spans="1:9" ht="15">
      <c r="A33" s="63">
        <v>6</v>
      </c>
      <c r="B33" s="60" t="s">
        <v>33</v>
      </c>
      <c r="C33" s="60" t="s">
        <v>33</v>
      </c>
      <c r="D33" s="63">
        <v>1</v>
      </c>
      <c r="E33" s="63">
        <v>120</v>
      </c>
      <c r="F33" s="406">
        <v>54199</v>
      </c>
      <c r="G33" s="225" t="s">
        <v>546</v>
      </c>
      <c r="H33" s="344">
        <f t="shared" si="0"/>
        <v>2470</v>
      </c>
      <c r="I33" s="201">
        <v>2470</v>
      </c>
    </row>
    <row r="34" spans="1:9" ht="15">
      <c r="A34" s="63">
        <v>6</v>
      </c>
      <c r="B34" s="60" t="s">
        <v>33</v>
      </c>
      <c r="C34" s="60" t="s">
        <v>33</v>
      </c>
      <c r="D34" s="63">
        <v>1</v>
      </c>
      <c r="E34" s="63">
        <v>120</v>
      </c>
      <c r="F34" s="406">
        <v>54201</v>
      </c>
      <c r="G34" s="225" t="s">
        <v>917</v>
      </c>
      <c r="H34" s="344">
        <f t="shared" si="0"/>
        <v>276</v>
      </c>
      <c r="I34" s="201">
        <v>276</v>
      </c>
    </row>
    <row r="35" spans="1:9" ht="15">
      <c r="A35" s="63">
        <v>6</v>
      </c>
      <c r="B35" s="60" t="s">
        <v>33</v>
      </c>
      <c r="C35" s="60" t="s">
        <v>33</v>
      </c>
      <c r="D35" s="63">
        <v>1</v>
      </c>
      <c r="E35" s="63">
        <v>120</v>
      </c>
      <c r="F35" s="406">
        <v>54202</v>
      </c>
      <c r="G35" s="225" t="s">
        <v>145</v>
      </c>
      <c r="H35" s="344">
        <f t="shared" si="0"/>
        <v>2160</v>
      </c>
      <c r="I35" s="201">
        <v>2160</v>
      </c>
    </row>
    <row r="36" spans="1:9" ht="15">
      <c r="A36" s="63">
        <v>6</v>
      </c>
      <c r="B36" s="60" t="s">
        <v>33</v>
      </c>
      <c r="C36" s="60" t="s">
        <v>33</v>
      </c>
      <c r="D36" s="63">
        <v>1</v>
      </c>
      <c r="E36" s="63">
        <v>120</v>
      </c>
      <c r="F36" s="406">
        <v>54203</v>
      </c>
      <c r="G36" s="225" t="s">
        <v>146</v>
      </c>
      <c r="H36" s="344">
        <v>4600</v>
      </c>
    </row>
    <row r="37" spans="1:9" ht="15" hidden="1">
      <c r="A37" s="63">
        <v>6</v>
      </c>
      <c r="B37" s="60" t="s">
        <v>33</v>
      </c>
      <c r="C37" s="60" t="s">
        <v>33</v>
      </c>
      <c r="D37" s="63">
        <v>1</v>
      </c>
      <c r="E37" s="63">
        <v>120</v>
      </c>
      <c r="F37" s="406">
        <v>54205</v>
      </c>
      <c r="G37" s="225" t="s">
        <v>915</v>
      </c>
      <c r="H37" s="344">
        <f t="shared" si="0"/>
        <v>0</v>
      </c>
    </row>
    <row r="38" spans="1:9" ht="15" hidden="1">
      <c r="A38" s="63">
        <v>6</v>
      </c>
      <c r="B38" s="60" t="s">
        <v>33</v>
      </c>
      <c r="C38" s="60" t="s">
        <v>33</v>
      </c>
      <c r="D38" s="63">
        <v>1</v>
      </c>
      <c r="E38" s="63">
        <v>120</v>
      </c>
      <c r="F38" s="406">
        <v>54302</v>
      </c>
      <c r="G38" s="225" t="s">
        <v>428</v>
      </c>
      <c r="H38" s="344">
        <f t="shared" si="0"/>
        <v>0</v>
      </c>
    </row>
    <row r="39" spans="1:9" ht="15" hidden="1">
      <c r="A39" s="63">
        <v>6</v>
      </c>
      <c r="B39" s="60" t="s">
        <v>33</v>
      </c>
      <c r="C39" s="60" t="s">
        <v>33</v>
      </c>
      <c r="D39" s="63">
        <v>1</v>
      </c>
      <c r="E39" s="63">
        <v>120</v>
      </c>
      <c r="F39" s="406">
        <v>54303</v>
      </c>
      <c r="G39" s="225" t="s">
        <v>151</v>
      </c>
      <c r="H39" s="344">
        <f t="shared" si="0"/>
        <v>0</v>
      </c>
    </row>
    <row r="40" spans="1:9" ht="15">
      <c r="A40" s="63">
        <v>6</v>
      </c>
      <c r="B40" s="60" t="s">
        <v>33</v>
      </c>
      <c r="C40" s="60" t="s">
        <v>33</v>
      </c>
      <c r="D40" s="63">
        <v>1</v>
      </c>
      <c r="E40" s="63">
        <v>120</v>
      </c>
      <c r="F40" s="406">
        <v>54304</v>
      </c>
      <c r="G40" s="225" t="s">
        <v>916</v>
      </c>
      <c r="H40" s="344">
        <f t="shared" si="0"/>
        <v>6150</v>
      </c>
      <c r="I40" s="201">
        <f>4900+250+1000</f>
        <v>6150</v>
      </c>
    </row>
    <row r="41" spans="1:9" ht="15" hidden="1">
      <c r="A41" s="63">
        <v>6</v>
      </c>
      <c r="B41" s="60" t="s">
        <v>33</v>
      </c>
      <c r="C41" s="60" t="s">
        <v>33</v>
      </c>
      <c r="D41" s="63">
        <v>1</v>
      </c>
      <c r="E41" s="63">
        <v>120</v>
      </c>
      <c r="F41" s="406">
        <v>54305</v>
      </c>
      <c r="G41" s="225" t="s">
        <v>153</v>
      </c>
      <c r="H41" s="344">
        <f t="shared" si="0"/>
        <v>0</v>
      </c>
    </row>
    <row r="42" spans="1:9" ht="15" hidden="1">
      <c r="A42" s="63">
        <v>6</v>
      </c>
      <c r="B42" s="60" t="s">
        <v>33</v>
      </c>
      <c r="C42" s="60" t="s">
        <v>33</v>
      </c>
      <c r="D42" s="63">
        <v>1</v>
      </c>
      <c r="E42" s="63">
        <v>120</v>
      </c>
      <c r="F42" s="406">
        <v>54313</v>
      </c>
      <c r="G42" s="225" t="s">
        <v>551</v>
      </c>
      <c r="H42" s="344">
        <f t="shared" si="0"/>
        <v>0</v>
      </c>
    </row>
    <row r="43" spans="1:9" ht="15">
      <c r="A43" s="63">
        <v>6</v>
      </c>
      <c r="B43" s="60" t="s">
        <v>33</v>
      </c>
      <c r="C43" s="60" t="s">
        <v>33</v>
      </c>
      <c r="D43" s="63">
        <v>1</v>
      </c>
      <c r="E43" s="63">
        <v>120</v>
      </c>
      <c r="F43" s="406">
        <v>54316</v>
      </c>
      <c r="G43" s="225" t="s">
        <v>768</v>
      </c>
      <c r="H43" s="344">
        <f t="shared" si="0"/>
        <v>5000</v>
      </c>
      <c r="I43" s="201">
        <v>5000</v>
      </c>
    </row>
    <row r="44" spans="1:9" ht="15" hidden="1">
      <c r="A44" s="63">
        <v>6</v>
      </c>
      <c r="B44" s="60" t="s">
        <v>33</v>
      </c>
      <c r="C44" s="60" t="s">
        <v>33</v>
      </c>
      <c r="D44" s="63">
        <v>1</v>
      </c>
      <c r="E44" s="63">
        <v>120</v>
      </c>
      <c r="F44" s="406">
        <v>54317</v>
      </c>
      <c r="G44" s="225" t="s">
        <v>598</v>
      </c>
      <c r="H44" s="344">
        <f t="shared" si="0"/>
        <v>0</v>
      </c>
    </row>
    <row r="45" spans="1:9" ht="15" hidden="1">
      <c r="A45" s="63">
        <v>6</v>
      </c>
      <c r="B45" s="60" t="s">
        <v>33</v>
      </c>
      <c r="C45" s="60" t="s">
        <v>33</v>
      </c>
      <c r="D45" s="63">
        <v>1</v>
      </c>
      <c r="E45" s="63">
        <v>120</v>
      </c>
      <c r="F45" s="73">
        <v>54399</v>
      </c>
      <c r="G45" s="273" t="s">
        <v>158</v>
      </c>
      <c r="H45" s="344">
        <f t="shared" si="0"/>
        <v>0</v>
      </c>
    </row>
    <row r="46" spans="1:9" ht="15" hidden="1">
      <c r="A46" s="63">
        <v>6</v>
      </c>
      <c r="B46" s="60" t="s">
        <v>33</v>
      </c>
      <c r="C46" s="60" t="s">
        <v>33</v>
      </c>
      <c r="D46" s="63">
        <v>1</v>
      </c>
      <c r="E46" s="63">
        <v>120</v>
      </c>
      <c r="F46" s="73">
        <v>54403</v>
      </c>
      <c r="G46" s="273" t="s">
        <v>539</v>
      </c>
      <c r="H46" s="344">
        <f t="shared" si="0"/>
        <v>0</v>
      </c>
    </row>
    <row r="47" spans="1:9" ht="15" hidden="1">
      <c r="A47" s="63">
        <v>6</v>
      </c>
      <c r="B47" s="60" t="s">
        <v>33</v>
      </c>
      <c r="C47" s="60" t="s">
        <v>33</v>
      </c>
      <c r="D47" s="63">
        <v>1</v>
      </c>
      <c r="E47" s="63">
        <v>120</v>
      </c>
      <c r="F47" s="73">
        <v>54505</v>
      </c>
      <c r="G47" s="273" t="s">
        <v>416</v>
      </c>
      <c r="H47" s="344">
        <f t="shared" si="0"/>
        <v>0</v>
      </c>
    </row>
    <row r="48" spans="1:9" ht="15">
      <c r="A48" s="63">
        <v>6</v>
      </c>
      <c r="B48" s="60" t="s">
        <v>33</v>
      </c>
      <c r="C48" s="60" t="s">
        <v>33</v>
      </c>
      <c r="D48" s="63">
        <v>1</v>
      </c>
      <c r="E48" s="63">
        <v>120</v>
      </c>
      <c r="F48" s="73">
        <v>54599</v>
      </c>
      <c r="G48" s="273" t="s">
        <v>550</v>
      </c>
      <c r="H48" s="344">
        <v>15000</v>
      </c>
    </row>
    <row r="49" spans="1:18" ht="15" hidden="1">
      <c r="A49" s="63">
        <v>6</v>
      </c>
      <c r="B49" s="60" t="s">
        <v>33</v>
      </c>
      <c r="C49" s="60" t="s">
        <v>33</v>
      </c>
      <c r="D49" s="63">
        <v>1</v>
      </c>
      <c r="E49" s="63">
        <v>120</v>
      </c>
      <c r="F49" s="73">
        <v>56304</v>
      </c>
      <c r="G49" s="272" t="s">
        <v>109</v>
      </c>
      <c r="H49" s="344">
        <v>0</v>
      </c>
      <c r="I49" s="224">
        <v>7300</v>
      </c>
    </row>
    <row r="50" spans="1:18" ht="15">
      <c r="A50" s="63">
        <v>6</v>
      </c>
      <c r="B50" s="60" t="s">
        <v>33</v>
      </c>
      <c r="C50" s="60" t="s">
        <v>33</v>
      </c>
      <c r="D50" s="63">
        <v>1</v>
      </c>
      <c r="E50" s="63">
        <v>120</v>
      </c>
      <c r="F50" s="406">
        <v>55603</v>
      </c>
      <c r="G50" s="273" t="s">
        <v>1021</v>
      </c>
      <c r="H50" s="344">
        <f>I50</f>
        <v>1503.9</v>
      </c>
      <c r="I50" s="201">
        <v>1503.9</v>
      </c>
    </row>
    <row r="51" spans="1:18" ht="15" hidden="1">
      <c r="A51" s="63">
        <v>6</v>
      </c>
      <c r="B51" s="60" t="s">
        <v>33</v>
      </c>
      <c r="C51" s="60" t="s">
        <v>33</v>
      </c>
      <c r="D51" s="63">
        <v>1</v>
      </c>
      <c r="E51" s="63">
        <v>120</v>
      </c>
      <c r="F51" s="406">
        <v>61104</v>
      </c>
      <c r="G51" s="273" t="s">
        <v>112</v>
      </c>
      <c r="H51" s="344">
        <f t="shared" si="0"/>
        <v>0</v>
      </c>
    </row>
    <row r="52" spans="1:18" ht="15" hidden="1">
      <c r="A52" s="63">
        <v>6</v>
      </c>
      <c r="B52" s="60" t="s">
        <v>33</v>
      </c>
      <c r="C52" s="60" t="s">
        <v>33</v>
      </c>
      <c r="D52" s="63">
        <v>1</v>
      </c>
      <c r="E52" s="63">
        <v>120</v>
      </c>
      <c r="F52" s="406">
        <v>61105</v>
      </c>
      <c r="G52" s="273" t="s">
        <v>419</v>
      </c>
      <c r="H52" s="344">
        <f t="shared" si="0"/>
        <v>0</v>
      </c>
    </row>
    <row r="53" spans="1:18" ht="15">
      <c r="A53" s="63">
        <v>6</v>
      </c>
      <c r="B53" s="60" t="s">
        <v>33</v>
      </c>
      <c r="C53" s="60" t="s">
        <v>33</v>
      </c>
      <c r="D53" s="63">
        <v>1</v>
      </c>
      <c r="E53" s="63">
        <v>120</v>
      </c>
      <c r="F53" s="406">
        <v>61109</v>
      </c>
      <c r="G53" s="273" t="s">
        <v>914</v>
      </c>
      <c r="H53" s="344">
        <f t="shared" si="0"/>
        <v>4000</v>
      </c>
      <c r="I53" s="201">
        <v>4000</v>
      </c>
    </row>
    <row r="54" spans="1:18" ht="15" hidden="1">
      <c r="A54" s="63">
        <v>6</v>
      </c>
      <c r="B54" s="60" t="s">
        <v>33</v>
      </c>
      <c r="C54" s="60" t="s">
        <v>33</v>
      </c>
      <c r="D54" s="63">
        <v>1</v>
      </c>
      <c r="E54" s="63">
        <v>120</v>
      </c>
      <c r="F54" s="406">
        <v>61201</v>
      </c>
      <c r="G54" s="225" t="s">
        <v>116</v>
      </c>
      <c r="H54" s="344">
        <f t="shared" si="0"/>
        <v>0</v>
      </c>
    </row>
    <row r="55" spans="1:18" ht="15">
      <c r="A55" s="63">
        <v>6</v>
      </c>
      <c r="B55" s="60" t="s">
        <v>33</v>
      </c>
      <c r="C55" s="60" t="s">
        <v>33</v>
      </c>
      <c r="D55" s="63">
        <v>1</v>
      </c>
      <c r="E55" s="63">
        <v>120</v>
      </c>
      <c r="F55" s="406">
        <v>61403</v>
      </c>
      <c r="G55" s="225" t="s">
        <v>163</v>
      </c>
      <c r="H55" s="344">
        <f t="shared" si="0"/>
        <v>4320</v>
      </c>
      <c r="I55" s="201">
        <v>4320</v>
      </c>
    </row>
    <row r="56" spans="1:18" ht="15" hidden="1">
      <c r="A56" s="63">
        <v>6</v>
      </c>
      <c r="B56" s="60" t="s">
        <v>33</v>
      </c>
      <c r="C56" s="60" t="s">
        <v>33</v>
      </c>
      <c r="D56" s="63">
        <v>1</v>
      </c>
      <c r="E56" s="63">
        <v>120</v>
      </c>
      <c r="F56" s="406">
        <v>61608</v>
      </c>
      <c r="G56" s="273" t="s">
        <v>862</v>
      </c>
      <c r="H56" s="344">
        <f t="shared" si="0"/>
        <v>0</v>
      </c>
    </row>
    <row r="57" spans="1:18" s="44" customFormat="1" ht="21.75" customHeight="1">
      <c r="A57" s="1534" t="s">
        <v>165</v>
      </c>
      <c r="B57" s="1534"/>
      <c r="C57" s="1534"/>
      <c r="D57" s="1534"/>
      <c r="E57" s="1534"/>
      <c r="F57" s="1534"/>
      <c r="G57" s="1534"/>
      <c r="H57" s="479">
        <f>SUM(H11:H56)</f>
        <v>203522.68</v>
      </c>
      <c r="I57" s="208">
        <f>SUM(I11:I56)</f>
        <v>189107.36</v>
      </c>
      <c r="K57" s="212"/>
      <c r="L57" s="208"/>
      <c r="M57" s="208"/>
      <c r="N57" s="208"/>
      <c r="O57" s="208"/>
      <c r="P57" s="208"/>
      <c r="Q57" s="208"/>
      <c r="R57" s="208"/>
    </row>
    <row r="58" spans="1:18" ht="15">
      <c r="A58" s="75"/>
      <c r="B58" s="74"/>
      <c r="C58" s="74"/>
      <c r="D58" s="33"/>
      <c r="E58" s="75"/>
      <c r="F58" s="76"/>
      <c r="G58" s="275"/>
      <c r="H58" s="77"/>
    </row>
    <row r="59" spans="1:18" ht="15">
      <c r="A59" s="75"/>
      <c r="B59" s="74"/>
      <c r="C59" s="74"/>
      <c r="D59" s="33"/>
      <c r="E59" s="75"/>
      <c r="F59" s="76"/>
      <c r="G59" s="275"/>
      <c r="H59" s="77"/>
    </row>
    <row r="60" spans="1:18" ht="14.25" customHeight="1">
      <c r="A60" s="75"/>
      <c r="B60" s="74"/>
      <c r="C60" s="74"/>
      <c r="D60" s="33"/>
      <c r="E60" s="75"/>
      <c r="F60" s="76"/>
      <c r="G60" s="275"/>
      <c r="H60" s="77"/>
    </row>
    <row r="61" spans="1:18" ht="15.75">
      <c r="A61" s="75"/>
      <c r="B61" s="74"/>
      <c r="C61" s="74"/>
      <c r="D61" s="33"/>
      <c r="E61" s="75"/>
      <c r="F61" s="78"/>
      <c r="G61" s="276"/>
      <c r="H61" s="79"/>
    </row>
    <row r="62" spans="1:18" ht="15.75">
      <c r="A62" s="75"/>
      <c r="B62" s="74"/>
      <c r="C62" s="74"/>
      <c r="D62" s="33"/>
      <c r="E62" s="75"/>
      <c r="F62" s="34"/>
      <c r="G62" s="274"/>
      <c r="H62" s="35"/>
    </row>
    <row r="63" spans="1:18" ht="15">
      <c r="A63" s="75"/>
      <c r="B63" s="74"/>
      <c r="C63" s="74"/>
      <c r="D63" s="33"/>
      <c r="E63" s="75"/>
      <c r="F63" s="76"/>
      <c r="G63" s="275"/>
      <c r="H63" s="77"/>
    </row>
    <row r="64" spans="1:18" ht="15.75">
      <c r="A64" s="75"/>
      <c r="B64" s="74"/>
      <c r="C64" s="74"/>
      <c r="D64" s="33"/>
      <c r="E64" s="75"/>
      <c r="F64" s="34"/>
      <c r="G64" s="274"/>
      <c r="H64" s="35"/>
    </row>
    <row r="65" spans="1:18" ht="15">
      <c r="A65" s="75"/>
      <c r="B65" s="74"/>
      <c r="C65" s="74"/>
      <c r="D65" s="33"/>
      <c r="E65" s="75"/>
      <c r="F65" s="76"/>
      <c r="G65" s="275"/>
      <c r="H65" s="77"/>
    </row>
    <row r="66" spans="1:18" ht="15">
      <c r="A66" s="75"/>
      <c r="B66" s="74"/>
      <c r="C66" s="74"/>
      <c r="D66" s="33"/>
      <c r="E66" s="75"/>
      <c r="F66" s="76"/>
      <c r="G66" s="275"/>
      <c r="H66" s="77"/>
    </row>
    <row r="67" spans="1:18" ht="15.75">
      <c r="A67" s="75"/>
      <c r="B67" s="74"/>
      <c r="C67" s="74"/>
      <c r="D67" s="33"/>
      <c r="E67" s="75"/>
      <c r="F67" s="78"/>
      <c r="G67" s="276"/>
      <c r="H67" s="79"/>
    </row>
    <row r="68" spans="1:18" ht="15">
      <c r="D68" s="33"/>
      <c r="F68" s="34"/>
      <c r="G68" s="274"/>
      <c r="H68" s="35"/>
    </row>
    <row r="69" spans="1:18">
      <c r="D69" s="33"/>
      <c r="F69" s="76"/>
      <c r="G69" s="275"/>
      <c r="H69" s="77"/>
    </row>
    <row r="70" spans="1:18">
      <c r="F70" s="76"/>
      <c r="G70" s="275"/>
      <c r="H70" s="77"/>
    </row>
    <row r="71" spans="1:18">
      <c r="F71" s="76"/>
      <c r="G71" s="275"/>
      <c r="H71" s="77"/>
    </row>
    <row r="72" spans="1:18" ht="15">
      <c r="F72" s="34"/>
      <c r="G72" s="274"/>
      <c r="H72" s="35"/>
    </row>
    <row r="73" spans="1:18">
      <c r="F73" s="76"/>
      <c r="G73" s="275"/>
      <c r="H73" s="77"/>
    </row>
    <row r="74" spans="1:18">
      <c r="G74" s="277"/>
      <c r="H74" s="80"/>
    </row>
    <row r="75" spans="1:18">
      <c r="G75" s="277"/>
      <c r="H75" s="80"/>
    </row>
    <row r="76" spans="1:18" ht="15">
      <c r="F76" s="34"/>
      <c r="G76" s="274"/>
      <c r="H76" s="35"/>
      <c r="I76" s="98"/>
      <c r="K76" s="211"/>
      <c r="L76" s="98"/>
      <c r="M76" s="98"/>
      <c r="N76" s="98"/>
      <c r="O76" s="98"/>
      <c r="P76" s="98"/>
      <c r="Q76" s="98"/>
      <c r="R76" s="98"/>
    </row>
    <row r="77" spans="1:18">
      <c r="G77" s="277"/>
      <c r="H77" s="80"/>
    </row>
    <row r="78" spans="1:18">
      <c r="G78" s="277"/>
      <c r="H78" s="81"/>
    </row>
    <row r="79" spans="1:18">
      <c r="G79" s="277"/>
      <c r="H79" s="80"/>
    </row>
    <row r="80" spans="1:18" ht="15">
      <c r="F80" s="34"/>
      <c r="G80" s="274"/>
      <c r="H80" s="35"/>
    </row>
    <row r="81" spans="7:8">
      <c r="G81" s="277"/>
      <c r="H81" s="80"/>
    </row>
    <row r="82" spans="7:8">
      <c r="G82" s="277"/>
      <c r="H82" s="81"/>
    </row>
    <row r="83" spans="7:8">
      <c r="G83" s="277"/>
      <c r="H83" s="81"/>
    </row>
    <row r="84" spans="7:8">
      <c r="H84" s="82"/>
    </row>
    <row r="85" spans="7:8">
      <c r="G85" s="277"/>
      <c r="H85" s="81"/>
    </row>
    <row r="86" spans="7:8">
      <c r="G86" s="277"/>
      <c r="H86" s="81"/>
    </row>
    <row r="87" spans="7:8">
      <c r="G87" s="277"/>
      <c r="H87" s="81"/>
    </row>
    <row r="88" spans="7:8">
      <c r="G88" s="277"/>
      <c r="H88" s="81"/>
    </row>
    <row r="89" spans="7:8">
      <c r="G89" s="277"/>
      <c r="H89" s="81"/>
    </row>
    <row r="90" spans="7:8">
      <c r="G90" s="277"/>
      <c r="H90" s="81"/>
    </row>
    <row r="91" spans="7:8">
      <c r="H91" s="82"/>
    </row>
    <row r="92" spans="7:8">
      <c r="H92" s="82"/>
    </row>
    <row r="93" spans="7:8">
      <c r="G93" s="277"/>
      <c r="H93" s="81"/>
    </row>
    <row r="94" spans="7:8">
      <c r="H94" s="82"/>
    </row>
    <row r="95" spans="7:8">
      <c r="H95" s="82"/>
    </row>
    <row r="96" spans="7:8">
      <c r="G96" s="277"/>
      <c r="H96" s="81"/>
    </row>
    <row r="97" spans="7:8">
      <c r="G97" s="69"/>
      <c r="H97" s="83"/>
    </row>
  </sheetData>
  <mergeCells count="10">
    <mergeCell ref="A2:H2"/>
    <mergeCell ref="A3:H3"/>
    <mergeCell ref="A4:H4"/>
    <mergeCell ref="A5:H5"/>
    <mergeCell ref="A7:H7"/>
    <mergeCell ref="A57:G57"/>
    <mergeCell ref="A8:H8"/>
    <mergeCell ref="A9:F9"/>
    <mergeCell ref="G9:G10"/>
    <mergeCell ref="H9:H10"/>
  </mergeCells>
  <phoneticPr fontId="10" type="noConversion"/>
  <pageMargins left="0.82677165354330717" right="3.937007874015748E-2" top="0.39370078740157483" bottom="0.15748031496062992" header="0.11811023622047245" footer="0.31496062992125984"/>
  <pageSetup orientation="portrait"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104"/>
  <sheetViews>
    <sheetView topLeftCell="A10" zoomScale="106" zoomScaleNormal="106" workbookViewId="0">
      <selection activeCell="K33" sqref="K33"/>
    </sheetView>
  </sheetViews>
  <sheetFormatPr baseColWidth="10" defaultRowHeight="12.75"/>
  <cols>
    <col min="1" max="1" width="3.85546875" customWidth="1"/>
    <col min="2" max="2" width="4.7109375" customWidth="1"/>
    <col min="3" max="3" width="5" customWidth="1"/>
    <col min="4" max="4" width="4.42578125" customWidth="1"/>
    <col min="5" max="5" width="6.140625" customWidth="1"/>
    <col min="6" max="6" width="8" style="51" customWidth="1"/>
    <col min="7" max="7" width="42.85546875" style="8" customWidth="1"/>
    <col min="8" max="8" width="16.7109375" customWidth="1"/>
  </cols>
  <sheetData>
    <row r="1" spans="1:8" ht="18.75">
      <c r="A1" s="1546" t="s">
        <v>79</v>
      </c>
      <c r="B1" s="1546"/>
      <c r="C1" s="1546"/>
      <c r="D1" s="1546"/>
      <c r="E1" s="1546"/>
      <c r="F1" s="1546"/>
      <c r="G1" s="1546"/>
      <c r="H1" s="1546"/>
    </row>
    <row r="2" spans="1:8" ht="18.75">
      <c r="A2" s="1546" t="s">
        <v>78</v>
      </c>
      <c r="B2" s="1546"/>
      <c r="C2" s="1546"/>
      <c r="D2" s="1546"/>
      <c r="E2" s="1546"/>
      <c r="F2" s="1546"/>
      <c r="G2" s="1546"/>
      <c r="H2" s="1546"/>
    </row>
    <row r="3" spans="1:8" ht="18.75">
      <c r="A3" s="1519" t="s">
        <v>636</v>
      </c>
      <c r="B3" s="1519"/>
      <c r="C3" s="1519"/>
      <c r="D3" s="1519"/>
      <c r="E3" s="1519"/>
      <c r="F3" s="1519"/>
      <c r="G3" s="1519"/>
      <c r="H3" s="1519"/>
    </row>
    <row r="4" spans="1:8" ht="18.75">
      <c r="A4" s="1519" t="s">
        <v>11</v>
      </c>
      <c r="B4" s="1519"/>
      <c r="C4" s="1519"/>
      <c r="D4" s="1519"/>
      <c r="E4" s="1519"/>
      <c r="F4" s="1519"/>
      <c r="G4" s="1519"/>
      <c r="H4" s="1519"/>
    </row>
    <row r="5" spans="1:8" ht="4.5" customHeight="1">
      <c r="A5" s="1547" t="s">
        <v>23</v>
      </c>
      <c r="B5" s="1547"/>
      <c r="C5" s="1547"/>
      <c r="D5" s="1547"/>
      <c r="E5" s="1547"/>
      <c r="F5" s="1547"/>
      <c r="G5" s="1547"/>
      <c r="H5" s="1547"/>
    </row>
    <row r="6" spans="1:8">
      <c r="A6" s="1547"/>
      <c r="B6" s="1547"/>
      <c r="C6" s="1547"/>
      <c r="D6" s="1547"/>
      <c r="E6" s="1547"/>
      <c r="F6" s="1547"/>
      <c r="G6" s="1547"/>
      <c r="H6" s="1547"/>
    </row>
    <row r="7" spans="1:8" ht="26.25" customHeight="1">
      <c r="A7" s="1548" t="s">
        <v>627</v>
      </c>
      <c r="B7" s="1549"/>
      <c r="C7" s="1549"/>
      <c r="D7" s="1549"/>
      <c r="E7" s="1549"/>
      <c r="F7" s="1549"/>
      <c r="G7" s="1549"/>
      <c r="H7" s="1549"/>
    </row>
    <row r="8" spans="1:8" ht="15">
      <c r="A8" s="1550" t="s">
        <v>8</v>
      </c>
      <c r="B8" s="1550"/>
      <c r="C8" s="1550"/>
      <c r="D8" s="1550"/>
      <c r="E8" s="1550"/>
      <c r="F8" s="1550"/>
      <c r="G8" s="1551" t="s">
        <v>20</v>
      </c>
      <c r="H8" s="1552" t="s">
        <v>27</v>
      </c>
    </row>
    <row r="9" spans="1:8" ht="60" customHeight="1">
      <c r="A9" s="397" t="s">
        <v>16</v>
      </c>
      <c r="B9" s="398" t="s">
        <v>179</v>
      </c>
      <c r="C9" s="397" t="s">
        <v>17</v>
      </c>
      <c r="D9" s="397" t="s">
        <v>21</v>
      </c>
      <c r="E9" s="399" t="s">
        <v>314</v>
      </c>
      <c r="F9" s="397" t="s">
        <v>19</v>
      </c>
      <c r="G9" s="1551"/>
      <c r="H9" s="1552"/>
    </row>
    <row r="10" spans="1:8" ht="19.5" customHeight="1">
      <c r="A10" s="60" t="s">
        <v>308</v>
      </c>
      <c r="B10" s="60" t="s">
        <v>41</v>
      </c>
      <c r="C10" s="60" t="s">
        <v>33</v>
      </c>
      <c r="D10" s="62">
        <v>1</v>
      </c>
      <c r="E10" s="63">
        <v>111</v>
      </c>
      <c r="F10" s="221" t="s">
        <v>31</v>
      </c>
      <c r="G10" s="278" t="s">
        <v>648</v>
      </c>
      <c r="H10" s="36" t="e">
        <f>SUM('CONCENTRACION DE EGRESOS 2023'!#REF!)</f>
        <v>#REF!</v>
      </c>
    </row>
    <row r="11" spans="1:8" ht="19.5" customHeight="1">
      <c r="A11" s="60" t="s">
        <v>308</v>
      </c>
      <c r="B11" s="60" t="s">
        <v>41</v>
      </c>
      <c r="C11" s="60" t="s">
        <v>33</v>
      </c>
      <c r="D11" s="62">
        <v>1</v>
      </c>
      <c r="E11" s="63">
        <v>111</v>
      </c>
      <c r="F11" s="406">
        <v>51103</v>
      </c>
      <c r="G11" s="225" t="s">
        <v>82</v>
      </c>
      <c r="H11" s="36" t="e">
        <f>SUM('CONCENTRACION DE EGRESOS 2023'!#REF!)</f>
        <v>#REF!</v>
      </c>
    </row>
    <row r="12" spans="1:8" ht="19.5" customHeight="1">
      <c r="A12" s="60" t="s">
        <v>308</v>
      </c>
      <c r="B12" s="60" t="s">
        <v>41</v>
      </c>
      <c r="C12" s="60" t="s">
        <v>33</v>
      </c>
      <c r="D12" s="62">
        <v>1</v>
      </c>
      <c r="E12" s="63">
        <v>111</v>
      </c>
      <c r="F12" s="406">
        <v>51207</v>
      </c>
      <c r="G12" s="225" t="s">
        <v>170</v>
      </c>
      <c r="H12" s="36" t="e">
        <f>SUM('CONCENTRACION DE EGRESOS 2023'!#REF!)</f>
        <v>#REF!</v>
      </c>
    </row>
    <row r="13" spans="1:8" ht="19.5" customHeight="1">
      <c r="A13" s="60" t="s">
        <v>308</v>
      </c>
      <c r="B13" s="60" t="s">
        <v>41</v>
      </c>
      <c r="C13" s="60" t="s">
        <v>33</v>
      </c>
      <c r="D13" s="62">
        <v>1</v>
      </c>
      <c r="E13" s="63">
        <v>111</v>
      </c>
      <c r="F13" s="142" t="s">
        <v>89</v>
      </c>
      <c r="G13" s="273" t="s">
        <v>90</v>
      </c>
      <c r="H13" s="36" t="e">
        <f>SUM('CONCENTRACION DE EGRESOS 2023'!#REF!)</f>
        <v>#REF!</v>
      </c>
    </row>
    <row r="14" spans="1:8" ht="19.5" customHeight="1">
      <c r="A14" s="60" t="s">
        <v>308</v>
      </c>
      <c r="B14" s="60" t="s">
        <v>41</v>
      </c>
      <c r="C14" s="60" t="s">
        <v>33</v>
      </c>
      <c r="D14" s="62">
        <v>1</v>
      </c>
      <c r="E14" s="63">
        <v>111</v>
      </c>
      <c r="F14" s="142" t="s">
        <v>91</v>
      </c>
      <c r="G14" s="273" t="s">
        <v>92</v>
      </c>
      <c r="H14" s="36" t="e">
        <f>SUM('CONCENTRACION DE EGRESOS 2023'!#REF!)</f>
        <v>#REF!</v>
      </c>
    </row>
    <row r="15" spans="1:8" ht="19.5" customHeight="1">
      <c r="A15" s="60" t="s">
        <v>308</v>
      </c>
      <c r="B15" s="60" t="s">
        <v>41</v>
      </c>
      <c r="C15" s="60" t="s">
        <v>33</v>
      </c>
      <c r="D15" s="62">
        <v>1</v>
      </c>
      <c r="E15" s="63">
        <v>111</v>
      </c>
      <c r="F15" s="50" t="s">
        <v>173</v>
      </c>
      <c r="G15" s="278" t="s">
        <v>85</v>
      </c>
      <c r="H15" s="36"/>
    </row>
    <row r="16" spans="1:8" ht="18" hidden="1" customHeight="1">
      <c r="A16" s="60" t="s">
        <v>308</v>
      </c>
      <c r="B16" s="60" t="s">
        <v>41</v>
      </c>
      <c r="C16" s="60" t="s">
        <v>33</v>
      </c>
      <c r="D16" s="62">
        <v>1</v>
      </c>
      <c r="E16" s="63">
        <v>111</v>
      </c>
      <c r="F16" s="221" t="s">
        <v>425</v>
      </c>
      <c r="G16" s="278" t="s">
        <v>547</v>
      </c>
      <c r="H16" s="36"/>
    </row>
    <row r="17" spans="1:13" ht="19.5" hidden="1" customHeight="1">
      <c r="A17" s="60" t="s">
        <v>308</v>
      </c>
      <c r="B17" s="60" t="s">
        <v>41</v>
      </c>
      <c r="C17" s="60" t="s">
        <v>33</v>
      </c>
      <c r="D17" s="62">
        <v>1</v>
      </c>
      <c r="E17" s="63">
        <v>111</v>
      </c>
      <c r="F17" s="221" t="s">
        <v>455</v>
      </c>
      <c r="G17" s="278" t="s">
        <v>456</v>
      </c>
      <c r="H17" s="36"/>
    </row>
    <row r="18" spans="1:13" ht="19.5" customHeight="1">
      <c r="A18" s="60" t="s">
        <v>308</v>
      </c>
      <c r="B18" s="60" t="s">
        <v>41</v>
      </c>
      <c r="C18" s="60" t="s">
        <v>33</v>
      </c>
      <c r="D18" s="62">
        <v>1</v>
      </c>
      <c r="E18" s="63">
        <v>111</v>
      </c>
      <c r="F18" s="49" t="s">
        <v>407</v>
      </c>
      <c r="G18" s="278" t="s">
        <v>131</v>
      </c>
      <c r="H18" s="36"/>
      <c r="M18">
        <v>4</v>
      </c>
    </row>
    <row r="19" spans="1:13" ht="19.5" hidden="1" customHeight="1">
      <c r="A19" s="60" t="s">
        <v>308</v>
      </c>
      <c r="B19" s="60" t="s">
        <v>41</v>
      </c>
      <c r="C19" s="60" t="s">
        <v>33</v>
      </c>
      <c r="D19" s="62">
        <v>1</v>
      </c>
      <c r="E19" s="63">
        <v>111</v>
      </c>
      <c r="F19" s="222" t="s">
        <v>502</v>
      </c>
      <c r="G19" s="278" t="s">
        <v>548</v>
      </c>
      <c r="H19" s="36"/>
    </row>
    <row r="20" spans="1:13" ht="19.5" customHeight="1">
      <c r="A20" s="60" t="s">
        <v>308</v>
      </c>
      <c r="B20" s="60" t="s">
        <v>41</v>
      </c>
      <c r="C20" s="60" t="s">
        <v>33</v>
      </c>
      <c r="D20" s="62">
        <v>1</v>
      </c>
      <c r="E20" s="63">
        <v>111</v>
      </c>
      <c r="F20" s="64">
        <v>54111</v>
      </c>
      <c r="G20" s="278" t="s">
        <v>135</v>
      </c>
      <c r="H20" s="202"/>
      <c r="I20" s="223"/>
    </row>
    <row r="21" spans="1:13" ht="19.5" customHeight="1">
      <c r="A21" s="60" t="s">
        <v>308</v>
      </c>
      <c r="B21" s="60" t="s">
        <v>41</v>
      </c>
      <c r="C21" s="60" t="s">
        <v>33</v>
      </c>
      <c r="D21" s="62">
        <v>1</v>
      </c>
      <c r="E21" s="63">
        <v>111</v>
      </c>
      <c r="F21" s="64">
        <v>54112</v>
      </c>
      <c r="G21" s="278" t="s">
        <v>136</v>
      </c>
      <c r="H21" s="36"/>
    </row>
    <row r="22" spans="1:13" ht="19.5" customHeight="1">
      <c r="A22" s="60" t="s">
        <v>308</v>
      </c>
      <c r="B22" s="60" t="s">
        <v>41</v>
      </c>
      <c r="C22" s="60" t="s">
        <v>33</v>
      </c>
      <c r="D22" s="62">
        <v>1</v>
      </c>
      <c r="E22" s="63">
        <v>111</v>
      </c>
      <c r="F22" s="64">
        <v>54118</v>
      </c>
      <c r="G22" s="278" t="s">
        <v>381</v>
      </c>
      <c r="H22" s="202"/>
    </row>
    <row r="23" spans="1:13" ht="19.5" customHeight="1">
      <c r="A23" s="60" t="s">
        <v>308</v>
      </c>
      <c r="B23" s="60" t="s">
        <v>41</v>
      </c>
      <c r="C23" s="60" t="s">
        <v>33</v>
      </c>
      <c r="D23" s="62">
        <v>1</v>
      </c>
      <c r="E23" s="63">
        <v>111</v>
      </c>
      <c r="F23" s="64">
        <v>54199</v>
      </c>
      <c r="G23" s="278" t="s">
        <v>549</v>
      </c>
      <c r="H23" s="36"/>
    </row>
    <row r="24" spans="1:13" ht="19.5" customHeight="1">
      <c r="A24" s="60" t="s">
        <v>308</v>
      </c>
      <c r="B24" s="60" t="s">
        <v>41</v>
      </c>
      <c r="C24" s="60" t="s">
        <v>33</v>
      </c>
      <c r="D24" s="62">
        <v>1</v>
      </c>
      <c r="E24" s="63">
        <v>111</v>
      </c>
      <c r="F24" s="64">
        <v>54304</v>
      </c>
      <c r="G24" s="279" t="s">
        <v>310</v>
      </c>
      <c r="H24" s="36"/>
    </row>
    <row r="25" spans="1:13" ht="19.5" customHeight="1">
      <c r="A25" s="60" t="s">
        <v>308</v>
      </c>
      <c r="B25" s="60" t="s">
        <v>41</v>
      </c>
      <c r="C25" s="60" t="s">
        <v>33</v>
      </c>
      <c r="D25" s="62">
        <v>1</v>
      </c>
      <c r="E25" s="63">
        <v>111</v>
      </c>
      <c r="F25" s="64">
        <v>54316</v>
      </c>
      <c r="G25" s="278" t="s">
        <v>156</v>
      </c>
      <c r="H25" s="36"/>
    </row>
    <row r="26" spans="1:13" ht="19.5" hidden="1" customHeight="1">
      <c r="A26" s="60" t="s">
        <v>308</v>
      </c>
      <c r="B26" s="60" t="s">
        <v>41</v>
      </c>
      <c r="C26" s="60" t="s">
        <v>33</v>
      </c>
      <c r="D26" s="62">
        <v>1</v>
      </c>
      <c r="E26" s="63">
        <v>111</v>
      </c>
      <c r="F26" s="64">
        <v>54317</v>
      </c>
      <c r="G26" s="279" t="s">
        <v>157</v>
      </c>
      <c r="H26" s="36"/>
    </row>
    <row r="27" spans="1:13" ht="12" hidden="1" customHeight="1">
      <c r="A27" s="60" t="s">
        <v>308</v>
      </c>
      <c r="B27" s="60" t="s">
        <v>41</v>
      </c>
      <c r="C27" s="60" t="s">
        <v>33</v>
      </c>
      <c r="D27" s="62">
        <v>1</v>
      </c>
      <c r="E27" s="63">
        <v>111</v>
      </c>
      <c r="F27" s="64">
        <v>54599</v>
      </c>
      <c r="G27" s="279" t="s">
        <v>550</v>
      </c>
      <c r="H27" s="343"/>
    </row>
    <row r="28" spans="1:13" ht="19.5" customHeight="1">
      <c r="A28" s="60" t="s">
        <v>308</v>
      </c>
      <c r="B28" s="60" t="s">
        <v>41</v>
      </c>
      <c r="C28" s="60" t="s">
        <v>33</v>
      </c>
      <c r="D28" s="62">
        <v>1</v>
      </c>
      <c r="E28" s="63">
        <v>111</v>
      </c>
      <c r="F28" s="49" t="s">
        <v>311</v>
      </c>
      <c r="G28" s="280" t="s">
        <v>109</v>
      </c>
      <c r="H28" s="343"/>
    </row>
    <row r="29" spans="1:13" ht="19.5" customHeight="1">
      <c r="A29" s="60" t="s">
        <v>308</v>
      </c>
      <c r="B29" s="60" t="s">
        <v>41</v>
      </c>
      <c r="C29" s="60" t="s">
        <v>33</v>
      </c>
      <c r="D29" s="62">
        <v>1</v>
      </c>
      <c r="E29" s="63">
        <v>111</v>
      </c>
      <c r="F29" s="85">
        <v>61599</v>
      </c>
      <c r="G29" s="281" t="s">
        <v>119</v>
      </c>
      <c r="H29" s="343"/>
    </row>
    <row r="30" spans="1:13" ht="13.5" hidden="1" customHeight="1">
      <c r="A30" s="60" t="s">
        <v>308</v>
      </c>
      <c r="B30" s="60" t="s">
        <v>41</v>
      </c>
      <c r="C30" s="60" t="s">
        <v>33</v>
      </c>
      <c r="D30" s="62">
        <v>1</v>
      </c>
      <c r="E30" s="63">
        <v>111</v>
      </c>
      <c r="F30" s="51">
        <v>61201</v>
      </c>
      <c r="G30" s="277" t="s">
        <v>116</v>
      </c>
      <c r="H30" s="343"/>
    </row>
    <row r="31" spans="1:13" ht="19.5" customHeight="1">
      <c r="A31" s="60" t="s">
        <v>308</v>
      </c>
      <c r="B31" s="60" t="s">
        <v>41</v>
      </c>
      <c r="C31" s="60" t="s">
        <v>33</v>
      </c>
      <c r="D31" s="62">
        <v>1</v>
      </c>
      <c r="E31" s="63">
        <v>111</v>
      </c>
      <c r="F31" s="64">
        <v>61601</v>
      </c>
      <c r="G31" s="278" t="s">
        <v>120</v>
      </c>
      <c r="H31" s="36"/>
    </row>
    <row r="32" spans="1:13" ht="19.5" customHeight="1">
      <c r="A32" s="60" t="s">
        <v>308</v>
      </c>
      <c r="B32" s="60" t="s">
        <v>41</v>
      </c>
      <c r="C32" s="60" t="s">
        <v>33</v>
      </c>
      <c r="D32" s="62">
        <v>1</v>
      </c>
      <c r="E32" s="63">
        <v>111</v>
      </c>
      <c r="F32" s="64">
        <v>61606</v>
      </c>
      <c r="G32" s="278" t="s">
        <v>312</v>
      </c>
      <c r="H32" s="36"/>
    </row>
    <row r="33" spans="1:8" ht="19.5" customHeight="1">
      <c r="A33" s="60" t="s">
        <v>308</v>
      </c>
      <c r="B33" s="60" t="s">
        <v>41</v>
      </c>
      <c r="C33" s="60" t="s">
        <v>33</v>
      </c>
      <c r="D33" s="62">
        <v>1</v>
      </c>
      <c r="E33" s="63">
        <v>111</v>
      </c>
      <c r="F33" s="64">
        <v>61608</v>
      </c>
      <c r="G33" s="278" t="s">
        <v>124</v>
      </c>
      <c r="H33" s="202"/>
    </row>
    <row r="34" spans="1:8" ht="15" hidden="1">
      <c r="A34" s="60" t="s">
        <v>308</v>
      </c>
      <c r="B34" s="60" t="s">
        <v>41</v>
      </c>
      <c r="C34" s="60" t="s">
        <v>33</v>
      </c>
      <c r="D34" s="62">
        <v>1</v>
      </c>
      <c r="E34" s="63">
        <v>111</v>
      </c>
      <c r="F34" s="64">
        <v>61699</v>
      </c>
      <c r="G34" s="278" t="s">
        <v>313</v>
      </c>
      <c r="H34" s="36"/>
    </row>
    <row r="35" spans="1:8" ht="15.75" customHeight="1" thickBot="1">
      <c r="A35" s="1553" t="s">
        <v>22</v>
      </c>
      <c r="B35" s="1554"/>
      <c r="C35" s="1554"/>
      <c r="D35" s="1554"/>
      <c r="E35" s="1554"/>
      <c r="F35" s="1554"/>
      <c r="G35" s="1555"/>
      <c r="H35" s="400" t="e">
        <f>SUM(H10:H34)</f>
        <v>#REF!</v>
      </c>
    </row>
    <row r="36" spans="1:8" ht="15.75" thickTop="1">
      <c r="A36" s="75"/>
      <c r="B36" s="75"/>
      <c r="C36" s="75"/>
      <c r="D36" s="5"/>
      <c r="E36" s="86"/>
      <c r="H36" s="68"/>
    </row>
    <row r="37" spans="1:8" ht="15">
      <c r="A37" s="75"/>
      <c r="B37" s="75"/>
      <c r="C37" s="75"/>
      <c r="D37" s="5"/>
      <c r="E37" s="86"/>
      <c r="H37" s="68"/>
    </row>
    <row r="38" spans="1:8" ht="15">
      <c r="A38" s="75"/>
      <c r="B38" s="75"/>
      <c r="C38" s="75"/>
      <c r="D38" s="5"/>
      <c r="E38" s="86"/>
      <c r="H38" s="68"/>
    </row>
    <row r="39" spans="1:8" ht="15">
      <c r="A39" s="75"/>
      <c r="B39" s="75"/>
      <c r="C39" s="75"/>
      <c r="D39" s="5"/>
      <c r="E39" s="86"/>
      <c r="H39" s="68"/>
    </row>
    <row r="40" spans="1:8" ht="15">
      <c r="A40" s="75"/>
      <c r="B40" s="75"/>
      <c r="C40" s="75"/>
      <c r="D40" s="5"/>
      <c r="E40" s="86"/>
      <c r="H40" s="68"/>
    </row>
    <row r="41" spans="1:8" ht="15">
      <c r="A41" s="75"/>
      <c r="B41" s="75"/>
      <c r="C41" s="75"/>
      <c r="D41" s="5"/>
      <c r="E41" s="86"/>
      <c r="H41" s="68"/>
    </row>
    <row r="42" spans="1:8" ht="15">
      <c r="A42" s="75"/>
      <c r="B42" s="75"/>
      <c r="C42" s="75"/>
      <c r="D42" s="5"/>
      <c r="E42" s="86"/>
      <c r="H42" s="68"/>
    </row>
    <row r="43" spans="1:8" ht="15">
      <c r="A43" s="75"/>
      <c r="B43" s="75"/>
      <c r="C43" s="75"/>
      <c r="D43" s="5"/>
      <c r="E43" s="86"/>
      <c r="H43" s="68"/>
    </row>
    <row r="44" spans="1:8" ht="15">
      <c r="A44" s="75"/>
      <c r="B44" s="75"/>
      <c r="C44" s="75"/>
      <c r="D44" s="5"/>
      <c r="E44" s="86"/>
      <c r="H44" s="68"/>
    </row>
    <row r="45" spans="1:8" ht="15">
      <c r="A45" s="75"/>
      <c r="B45" s="75"/>
      <c r="C45" s="75"/>
      <c r="D45" s="5"/>
      <c r="E45" s="86"/>
      <c r="H45" s="68"/>
    </row>
    <row r="46" spans="1:8" ht="15">
      <c r="A46" s="75"/>
      <c r="B46" s="75"/>
      <c r="C46" s="75"/>
      <c r="D46" s="5"/>
      <c r="E46" s="86"/>
      <c r="H46" s="68"/>
    </row>
    <row r="47" spans="1:8" ht="15">
      <c r="A47" s="75"/>
      <c r="B47" s="75"/>
      <c r="C47" s="75"/>
      <c r="D47" s="5"/>
      <c r="E47" s="86"/>
    </row>
    <row r="48" spans="1:8" ht="15">
      <c r="A48" s="75"/>
      <c r="B48" s="75"/>
      <c r="C48" s="75"/>
      <c r="D48" s="5"/>
      <c r="E48" s="86"/>
    </row>
    <row r="49" spans="1:8" ht="15">
      <c r="A49" s="75"/>
      <c r="B49" s="75"/>
      <c r="C49" s="75"/>
      <c r="D49" s="5"/>
      <c r="E49" s="86"/>
      <c r="H49" s="68"/>
    </row>
    <row r="50" spans="1:8" ht="15">
      <c r="A50" s="75"/>
      <c r="B50" s="75"/>
      <c r="C50" s="75"/>
      <c r="D50" s="5"/>
      <c r="E50" s="86"/>
      <c r="H50" s="68"/>
    </row>
    <row r="51" spans="1:8" ht="15">
      <c r="A51" s="75"/>
      <c r="B51" s="75"/>
      <c r="C51" s="75"/>
      <c r="D51" s="5"/>
      <c r="E51" s="86"/>
      <c r="H51" s="68"/>
    </row>
    <row r="52" spans="1:8" ht="15">
      <c r="A52" s="75"/>
      <c r="B52" s="75"/>
      <c r="C52" s="75"/>
      <c r="D52" s="5"/>
      <c r="E52" s="86"/>
      <c r="H52" s="68"/>
    </row>
    <row r="53" spans="1:8" ht="15">
      <c r="A53" s="75"/>
      <c r="B53" s="75"/>
      <c r="C53" s="75"/>
      <c r="D53" s="5"/>
      <c r="E53" s="86"/>
      <c r="H53" s="68"/>
    </row>
    <row r="54" spans="1:8" ht="15">
      <c r="A54" s="75"/>
      <c r="B54" s="75"/>
      <c r="C54" s="75"/>
      <c r="D54" s="5"/>
      <c r="E54" s="86"/>
      <c r="H54" s="68"/>
    </row>
    <row r="55" spans="1:8" ht="15">
      <c r="A55" s="75"/>
      <c r="B55" s="75"/>
      <c r="C55" s="75"/>
      <c r="D55" s="5"/>
      <c r="E55" s="86"/>
      <c r="H55" s="68"/>
    </row>
    <row r="56" spans="1:8" ht="15">
      <c r="A56" s="75"/>
      <c r="B56" s="75"/>
      <c r="C56" s="75"/>
      <c r="D56" s="5"/>
      <c r="E56" s="86"/>
      <c r="H56" s="68"/>
    </row>
    <row r="57" spans="1:8" ht="15">
      <c r="A57" s="75"/>
      <c r="B57" s="75"/>
      <c r="C57" s="75"/>
      <c r="D57" s="5"/>
      <c r="E57" s="86"/>
      <c r="H57" s="68"/>
    </row>
    <row r="58" spans="1:8" ht="15">
      <c r="A58" s="75"/>
      <c r="B58" s="75"/>
      <c r="C58" s="75"/>
      <c r="D58" s="5"/>
      <c r="E58" s="86"/>
      <c r="H58" s="68"/>
    </row>
    <row r="59" spans="1:8" ht="15">
      <c r="A59" s="75"/>
      <c r="B59" s="75"/>
      <c r="C59" s="75"/>
      <c r="D59" s="5"/>
      <c r="E59" s="86"/>
      <c r="H59" s="68"/>
    </row>
    <row r="60" spans="1:8" ht="15">
      <c r="A60" s="75"/>
      <c r="B60" s="75"/>
      <c r="C60" s="75"/>
      <c r="D60" s="5"/>
      <c r="E60" s="86"/>
      <c r="H60" s="68"/>
    </row>
    <row r="61" spans="1:8" ht="15">
      <c r="A61" s="75"/>
      <c r="B61" s="75"/>
      <c r="C61" s="75"/>
      <c r="D61" s="5"/>
      <c r="E61" s="86"/>
      <c r="H61" s="68"/>
    </row>
    <row r="62" spans="1:8" ht="15">
      <c r="A62" s="75"/>
      <c r="B62" s="75"/>
      <c r="C62" s="75"/>
      <c r="D62" s="5"/>
      <c r="E62" s="86"/>
      <c r="H62" s="68"/>
    </row>
    <row r="63" spans="1:8" ht="15">
      <c r="A63" s="75"/>
      <c r="B63" s="75"/>
      <c r="C63" s="75"/>
      <c r="D63" s="5"/>
      <c r="E63" s="86"/>
      <c r="H63" s="68"/>
    </row>
    <row r="64" spans="1:8" ht="15">
      <c r="A64" s="75"/>
      <c r="B64" s="75"/>
      <c r="C64" s="75"/>
      <c r="D64" s="5"/>
      <c r="E64" s="86"/>
      <c r="H64" s="68"/>
    </row>
    <row r="65" spans="1:8" ht="15">
      <c r="A65" s="75"/>
      <c r="B65" s="75"/>
      <c r="C65" s="75"/>
      <c r="D65" s="5"/>
      <c r="E65" s="86"/>
      <c r="H65" s="68"/>
    </row>
    <row r="66" spans="1:8" ht="15">
      <c r="A66" s="75"/>
      <c r="B66" s="75"/>
      <c r="C66" s="75"/>
      <c r="D66" s="5"/>
      <c r="E66" s="86"/>
      <c r="H66" s="68"/>
    </row>
    <row r="67" spans="1:8" ht="15">
      <c r="A67" s="75"/>
      <c r="B67" s="75"/>
      <c r="C67" s="75"/>
      <c r="D67" s="5"/>
      <c r="E67" s="86"/>
      <c r="H67" s="68"/>
    </row>
    <row r="68" spans="1:8" ht="15">
      <c r="A68" s="6"/>
      <c r="B68" s="6"/>
      <c r="C68" s="6"/>
      <c r="D68" s="5"/>
      <c r="E68" s="6"/>
      <c r="G68" s="282"/>
      <c r="H68" s="37"/>
    </row>
    <row r="69" spans="1:8" ht="15">
      <c r="A69" s="75"/>
      <c r="B69" s="75"/>
      <c r="C69" s="74"/>
      <c r="D69" s="5"/>
      <c r="E69" s="75"/>
      <c r="F69" s="52"/>
      <c r="G69" s="277"/>
      <c r="H69" s="68"/>
    </row>
    <row r="70" spans="1:8" ht="15">
      <c r="A70" s="75"/>
      <c r="B70" s="75"/>
      <c r="C70" s="74"/>
      <c r="D70" s="5"/>
      <c r="E70" s="75"/>
      <c r="F70" s="52"/>
      <c r="G70" s="277"/>
      <c r="H70" s="68"/>
    </row>
    <row r="71" spans="1:8" ht="15">
      <c r="A71" s="75"/>
      <c r="B71" s="75"/>
      <c r="C71" s="74"/>
      <c r="D71" s="5"/>
      <c r="E71" s="75"/>
      <c r="G71" s="69"/>
      <c r="H71" s="68"/>
    </row>
    <row r="72" spans="1:8" ht="15">
      <c r="A72" s="75"/>
      <c r="B72" s="75"/>
      <c r="C72" s="74"/>
      <c r="D72" s="5"/>
      <c r="E72" s="75"/>
      <c r="F72" s="52"/>
      <c r="G72" s="277"/>
      <c r="H72" s="68"/>
    </row>
    <row r="73" spans="1:8" ht="15">
      <c r="A73" s="75"/>
      <c r="B73" s="75"/>
      <c r="C73" s="74"/>
      <c r="D73" s="5"/>
      <c r="E73" s="75"/>
      <c r="F73" s="52"/>
      <c r="G73" s="277"/>
      <c r="H73" s="68"/>
    </row>
    <row r="74" spans="1:8" ht="15">
      <c r="A74" s="75"/>
      <c r="B74" s="75"/>
      <c r="C74" s="74"/>
      <c r="D74" s="5"/>
      <c r="E74" s="75"/>
      <c r="F74" s="52"/>
      <c r="G74" s="277"/>
      <c r="H74" s="68"/>
    </row>
    <row r="75" spans="1:8" ht="15">
      <c r="A75" s="75"/>
      <c r="B75" s="75"/>
      <c r="C75" s="74"/>
      <c r="D75" s="5"/>
      <c r="E75" s="75"/>
      <c r="H75" s="68"/>
    </row>
    <row r="76" spans="1:8" ht="15">
      <c r="A76" s="75"/>
      <c r="B76" s="75"/>
      <c r="C76" s="74"/>
      <c r="D76" s="5"/>
      <c r="E76" s="75"/>
      <c r="H76" s="68"/>
    </row>
    <row r="77" spans="1:8" ht="15">
      <c r="A77" s="75"/>
      <c r="B77" s="75"/>
      <c r="C77" s="74"/>
      <c r="D77" s="5"/>
      <c r="E77" s="75"/>
      <c r="H77" s="68"/>
    </row>
    <row r="78" spans="1:8" ht="15">
      <c r="A78" s="75"/>
      <c r="B78" s="75"/>
      <c r="C78" s="74"/>
      <c r="D78" s="5"/>
      <c r="E78" s="75"/>
      <c r="H78" s="68"/>
    </row>
    <row r="79" spans="1:8" ht="15">
      <c r="A79" s="6"/>
      <c r="B79" s="6"/>
      <c r="C79" s="6"/>
      <c r="D79" s="5"/>
      <c r="E79" s="6"/>
      <c r="G79" s="282"/>
      <c r="H79" s="37"/>
    </row>
    <row r="80" spans="1:8" ht="15">
      <c r="A80" s="75"/>
      <c r="B80" s="74"/>
      <c r="C80" s="74"/>
      <c r="D80" s="5"/>
      <c r="E80" s="75"/>
      <c r="F80" s="52"/>
      <c r="G80" s="277"/>
      <c r="H80" s="68"/>
    </row>
    <row r="81" spans="1:8" ht="15">
      <c r="A81" s="75"/>
      <c r="B81" s="74"/>
      <c r="C81" s="74"/>
      <c r="D81" s="5"/>
      <c r="E81" s="75"/>
      <c r="F81" s="52"/>
      <c r="G81" s="277"/>
      <c r="H81" s="68"/>
    </row>
    <row r="82" spans="1:8" ht="15">
      <c r="A82" s="75"/>
      <c r="B82" s="74"/>
      <c r="C82" s="74"/>
      <c r="D82" s="5"/>
      <c r="E82" s="75"/>
      <c r="F82" s="52"/>
      <c r="G82" s="277"/>
      <c r="H82" s="68"/>
    </row>
    <row r="83" spans="1:8" ht="15">
      <c r="A83" s="75"/>
      <c r="B83" s="74"/>
      <c r="C83" s="74"/>
      <c r="D83" s="5"/>
      <c r="E83" s="75"/>
      <c r="F83" s="52"/>
      <c r="G83" s="277"/>
      <c r="H83" s="68"/>
    </row>
    <row r="84" spans="1:8" ht="15">
      <c r="A84" s="75"/>
      <c r="B84" s="74"/>
      <c r="C84" s="74"/>
      <c r="D84" s="5"/>
      <c r="E84" s="75"/>
      <c r="H84" s="68"/>
    </row>
    <row r="85" spans="1:8" ht="15">
      <c r="A85" s="75"/>
      <c r="B85" s="74"/>
      <c r="C85" s="74"/>
      <c r="D85" s="5"/>
      <c r="E85" s="75"/>
      <c r="H85" s="68"/>
    </row>
    <row r="86" spans="1:8" ht="15">
      <c r="A86" s="6"/>
      <c r="B86" s="6"/>
      <c r="C86" s="6"/>
      <c r="D86" s="5"/>
      <c r="E86" s="6"/>
      <c r="G86" s="282"/>
      <c r="H86" s="37"/>
    </row>
    <row r="87" spans="1:8" ht="15">
      <c r="A87" s="75"/>
      <c r="B87" s="74"/>
      <c r="C87" s="74"/>
      <c r="D87" s="5"/>
      <c r="E87" s="75"/>
      <c r="F87" s="52"/>
      <c r="G87" s="277"/>
      <c r="H87" s="68"/>
    </row>
    <row r="88" spans="1:8" ht="15">
      <c r="A88" s="75"/>
      <c r="B88" s="74"/>
      <c r="C88" s="74"/>
      <c r="D88" s="5"/>
      <c r="E88" s="75"/>
      <c r="F88" s="52"/>
      <c r="G88" s="277"/>
      <c r="H88" s="68"/>
    </row>
    <row r="89" spans="1:8" ht="15">
      <c r="A89" s="75"/>
      <c r="B89" s="74"/>
      <c r="C89" s="74"/>
      <c r="D89" s="5"/>
      <c r="E89" s="75"/>
      <c r="H89" s="68"/>
    </row>
    <row r="90" spans="1:8" ht="15">
      <c r="A90" s="75"/>
      <c r="B90" s="74"/>
      <c r="C90" s="74"/>
      <c r="D90" s="5"/>
      <c r="E90" s="75"/>
      <c r="F90" s="52"/>
      <c r="G90" s="277"/>
      <c r="H90" s="68"/>
    </row>
    <row r="91" spans="1:8" ht="15">
      <c r="A91" s="75"/>
      <c r="B91" s="74"/>
      <c r="C91" s="74"/>
      <c r="D91" s="5"/>
      <c r="E91" s="75"/>
      <c r="F91" s="52"/>
      <c r="G91" s="277"/>
      <c r="H91" s="68"/>
    </row>
    <row r="92" spans="1:8" ht="15">
      <c r="A92" s="75"/>
      <c r="B92" s="74"/>
      <c r="C92" s="74"/>
      <c r="D92" s="5"/>
      <c r="E92" s="75"/>
      <c r="H92" s="68"/>
    </row>
    <row r="93" spans="1:8" ht="15">
      <c r="A93" s="75"/>
      <c r="B93" s="74"/>
      <c r="C93" s="74"/>
      <c r="D93" s="5"/>
      <c r="E93" s="75"/>
      <c r="H93" s="68"/>
    </row>
    <row r="94" spans="1:8" ht="15">
      <c r="A94" s="75"/>
      <c r="B94" s="74"/>
      <c r="C94" s="74"/>
      <c r="D94" s="5"/>
      <c r="E94" s="75"/>
      <c r="H94" s="68"/>
    </row>
    <row r="95" spans="1:8" ht="15">
      <c r="A95" s="75"/>
      <c r="B95" s="74"/>
      <c r="C95" s="74"/>
      <c r="D95" s="5"/>
      <c r="E95" s="75"/>
      <c r="H95" s="68"/>
    </row>
    <row r="96" spans="1:8" ht="15">
      <c r="A96" s="75"/>
      <c r="B96" s="74"/>
      <c r="C96" s="74"/>
      <c r="D96" s="5"/>
      <c r="E96" s="75"/>
      <c r="H96" s="68"/>
    </row>
    <row r="97" spans="1:8" ht="15">
      <c r="A97" s="75"/>
      <c r="B97" s="74"/>
      <c r="C97" s="74"/>
      <c r="D97" s="5"/>
      <c r="E97" s="75"/>
      <c r="H97" s="68"/>
    </row>
    <row r="98" spans="1:8" ht="15">
      <c r="A98" s="75"/>
      <c r="B98" s="74"/>
      <c r="C98" s="74"/>
      <c r="D98" s="5"/>
      <c r="E98" s="75"/>
      <c r="H98" s="68"/>
    </row>
    <row r="99" spans="1:8" ht="15">
      <c r="A99" s="75"/>
      <c r="B99" s="74"/>
      <c r="C99" s="74"/>
      <c r="D99" s="5"/>
      <c r="E99" s="75"/>
      <c r="H99" s="68"/>
    </row>
    <row r="100" spans="1:8" ht="15">
      <c r="A100" s="75"/>
      <c r="B100" s="74"/>
      <c r="C100" s="74"/>
      <c r="D100" s="5"/>
      <c r="E100" s="75"/>
      <c r="H100" s="68"/>
    </row>
    <row r="101" spans="1:8" ht="15">
      <c r="A101" s="75"/>
      <c r="B101" s="74"/>
      <c r="C101" s="74"/>
      <c r="D101" s="5"/>
      <c r="E101" s="75"/>
      <c r="H101" s="68"/>
    </row>
    <row r="102" spans="1:8" ht="15">
      <c r="A102" s="75"/>
      <c r="B102" s="74"/>
      <c r="C102" s="74"/>
      <c r="D102" s="5"/>
      <c r="E102" s="75"/>
      <c r="G102" s="69"/>
      <c r="H102" s="68"/>
    </row>
    <row r="103" spans="1:8" ht="15">
      <c r="A103" s="6"/>
      <c r="B103" s="6"/>
      <c r="C103" s="6"/>
      <c r="D103" s="33"/>
      <c r="E103" s="6"/>
      <c r="G103" s="282"/>
      <c r="H103" s="37"/>
    </row>
    <row r="104" spans="1:8" ht="15">
      <c r="A104" s="6"/>
      <c r="B104" s="6"/>
      <c r="C104" s="6"/>
      <c r="D104" s="33"/>
      <c r="E104" s="6"/>
      <c r="G104" s="283"/>
      <c r="H104" s="37"/>
    </row>
  </sheetData>
  <mergeCells count="10">
    <mergeCell ref="A7:H7"/>
    <mergeCell ref="A8:F8"/>
    <mergeCell ref="G8:G9"/>
    <mergeCell ref="H8:H9"/>
    <mergeCell ref="A35:G35"/>
    <mergeCell ref="A1:H1"/>
    <mergeCell ref="A2:H2"/>
    <mergeCell ref="A3:H3"/>
    <mergeCell ref="A4:H4"/>
    <mergeCell ref="A5:H6"/>
  </mergeCells>
  <phoneticPr fontId="10" type="noConversion"/>
  <pageMargins left="0.96" right="0.12" top="0.28999999999999998" bottom="1" header="0" footer="0"/>
  <pageSetup orientation="portrait"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O96"/>
  <sheetViews>
    <sheetView topLeftCell="A7" workbookViewId="0">
      <selection activeCell="N27" sqref="N27"/>
    </sheetView>
  </sheetViews>
  <sheetFormatPr baseColWidth="10" defaultRowHeight="12.75"/>
  <cols>
    <col min="1" max="1" width="3.85546875" customWidth="1"/>
    <col min="2" max="2" width="4.7109375" customWidth="1"/>
    <col min="3" max="3" width="5" customWidth="1"/>
    <col min="4" max="4" width="4.42578125" customWidth="1"/>
    <col min="5" max="5" width="6.140625" customWidth="1"/>
    <col min="6" max="6" width="8" style="51" customWidth="1"/>
    <col min="7" max="7" width="42.85546875" style="8" customWidth="1"/>
    <col min="8" max="8" width="16.7109375" customWidth="1"/>
  </cols>
  <sheetData>
    <row r="1" spans="1:15" ht="27" customHeight="1">
      <c r="A1" s="1546" t="s">
        <v>79</v>
      </c>
      <c r="B1" s="1546"/>
      <c r="C1" s="1546"/>
      <c r="D1" s="1546"/>
      <c r="E1" s="1546"/>
      <c r="F1" s="1546"/>
      <c r="G1" s="1546"/>
      <c r="H1" s="1546"/>
    </row>
    <row r="2" spans="1:15" ht="27" customHeight="1">
      <c r="A2" s="1546" t="s">
        <v>78</v>
      </c>
      <c r="B2" s="1546"/>
      <c r="C2" s="1546"/>
      <c r="D2" s="1546"/>
      <c r="E2" s="1546"/>
      <c r="F2" s="1546"/>
      <c r="G2" s="1546"/>
      <c r="H2" s="1546"/>
    </row>
    <row r="3" spans="1:15" ht="27" customHeight="1">
      <c r="A3" s="1519" t="s">
        <v>636</v>
      </c>
      <c r="B3" s="1519"/>
      <c r="C3" s="1519"/>
      <c r="D3" s="1519"/>
      <c r="E3" s="1519"/>
      <c r="F3" s="1519"/>
      <c r="G3" s="1519"/>
      <c r="H3" s="1519"/>
    </row>
    <row r="4" spans="1:15" ht="27" customHeight="1">
      <c r="A4" s="1519" t="s">
        <v>11</v>
      </c>
      <c r="B4" s="1519"/>
      <c r="C4" s="1519"/>
      <c r="D4" s="1519"/>
      <c r="E4" s="1519"/>
      <c r="F4" s="1519"/>
      <c r="G4" s="1519"/>
      <c r="H4" s="1519"/>
    </row>
    <row r="5" spans="1:15">
      <c r="A5" s="1547" t="s">
        <v>23</v>
      </c>
      <c r="B5" s="1547"/>
      <c r="C5" s="1547"/>
      <c r="D5" s="1547"/>
      <c r="E5" s="1547"/>
      <c r="F5" s="1547"/>
      <c r="G5" s="1547"/>
      <c r="H5" s="1547"/>
    </row>
    <row r="6" spans="1:15">
      <c r="A6" s="1547"/>
      <c r="B6" s="1547"/>
      <c r="C6" s="1547"/>
      <c r="D6" s="1547"/>
      <c r="E6" s="1547"/>
      <c r="F6" s="1547"/>
      <c r="G6" s="1547"/>
      <c r="H6" s="1547"/>
    </row>
    <row r="7" spans="1:15" ht="18">
      <c r="A7" s="1548" t="s">
        <v>649</v>
      </c>
      <c r="B7" s="1549"/>
      <c r="C7" s="1549"/>
      <c r="D7" s="1549"/>
      <c r="E7" s="1549"/>
      <c r="F7" s="1549"/>
      <c r="G7" s="1549"/>
      <c r="H7" s="1549"/>
    </row>
    <row r="8" spans="1:15" ht="15">
      <c r="A8" s="1550" t="s">
        <v>8</v>
      </c>
      <c r="B8" s="1550"/>
      <c r="C8" s="1550"/>
      <c r="D8" s="1550"/>
      <c r="E8" s="1550"/>
      <c r="F8" s="1550"/>
      <c r="G8" s="1551" t="s">
        <v>20</v>
      </c>
      <c r="H8" s="1552" t="s">
        <v>27</v>
      </c>
    </row>
    <row r="9" spans="1:15" ht="106.5">
      <c r="A9" s="397" t="s">
        <v>16</v>
      </c>
      <c r="B9" s="398" t="s">
        <v>179</v>
      </c>
      <c r="C9" s="397" t="s">
        <v>17</v>
      </c>
      <c r="D9" s="397" t="s">
        <v>21</v>
      </c>
      <c r="E9" s="399" t="s">
        <v>314</v>
      </c>
      <c r="F9" s="397" t="s">
        <v>19</v>
      </c>
      <c r="G9" s="1551"/>
      <c r="H9" s="1552"/>
    </row>
    <row r="10" spans="1:15" ht="21" customHeight="1">
      <c r="A10" s="60" t="s">
        <v>308</v>
      </c>
      <c r="B10" s="60" t="s">
        <v>41</v>
      </c>
      <c r="C10" s="60" t="s">
        <v>35</v>
      </c>
      <c r="D10" s="62">
        <v>1</v>
      </c>
      <c r="E10" s="63">
        <v>111</v>
      </c>
      <c r="F10" s="50" t="s">
        <v>173</v>
      </c>
      <c r="G10" s="278" t="s">
        <v>85</v>
      </c>
      <c r="H10" s="36"/>
    </row>
    <row r="11" spans="1:15" ht="21" customHeight="1">
      <c r="A11" s="60" t="s">
        <v>308</v>
      </c>
      <c r="B11" s="60" t="s">
        <v>41</v>
      </c>
      <c r="C11" s="60" t="s">
        <v>35</v>
      </c>
      <c r="D11" s="62">
        <v>1</v>
      </c>
      <c r="E11" s="63">
        <v>111</v>
      </c>
      <c r="F11" s="49" t="s">
        <v>407</v>
      </c>
      <c r="G11" s="278" t="s">
        <v>131</v>
      </c>
      <c r="H11" s="36"/>
    </row>
    <row r="12" spans="1:15" ht="21" customHeight="1">
      <c r="A12" s="60" t="s">
        <v>308</v>
      </c>
      <c r="B12" s="60" t="s">
        <v>41</v>
      </c>
      <c r="C12" s="60" t="s">
        <v>35</v>
      </c>
      <c r="D12" s="62">
        <v>1</v>
      </c>
      <c r="E12" s="63">
        <v>111</v>
      </c>
      <c r="F12" s="64">
        <v>54111</v>
      </c>
      <c r="G12" s="278" t="s">
        <v>135</v>
      </c>
      <c r="H12" s="202"/>
    </row>
    <row r="13" spans="1:15" ht="21" customHeight="1">
      <c r="A13" s="60" t="s">
        <v>308</v>
      </c>
      <c r="B13" s="60" t="s">
        <v>41</v>
      </c>
      <c r="C13" s="60" t="s">
        <v>35</v>
      </c>
      <c r="D13" s="62">
        <v>1</v>
      </c>
      <c r="E13" s="63">
        <v>111</v>
      </c>
      <c r="F13" s="64">
        <v>54112</v>
      </c>
      <c r="G13" s="278" t="s">
        <v>136</v>
      </c>
      <c r="H13" s="36"/>
    </row>
    <row r="14" spans="1:15" ht="21" customHeight="1">
      <c r="A14" s="60" t="s">
        <v>308</v>
      </c>
      <c r="B14" s="60" t="s">
        <v>41</v>
      </c>
      <c r="C14" s="60" t="s">
        <v>35</v>
      </c>
      <c r="D14" s="62">
        <v>1</v>
      </c>
      <c r="E14" s="63">
        <v>111</v>
      </c>
      <c r="F14" s="64">
        <v>54118</v>
      </c>
      <c r="G14" s="278" t="s">
        <v>381</v>
      </c>
      <c r="H14" s="202"/>
    </row>
    <row r="15" spans="1:15" ht="21" customHeight="1">
      <c r="A15" s="60" t="s">
        <v>308</v>
      </c>
      <c r="B15" s="60" t="s">
        <v>41</v>
      </c>
      <c r="C15" s="60" t="s">
        <v>35</v>
      </c>
      <c r="D15" s="62">
        <v>1</v>
      </c>
      <c r="E15" s="63">
        <v>111</v>
      </c>
      <c r="F15" s="64">
        <v>54199</v>
      </c>
      <c r="G15" s="278" t="s">
        <v>549</v>
      </c>
      <c r="H15" s="36"/>
    </row>
    <row r="16" spans="1:15" ht="21" customHeight="1">
      <c r="A16" s="60" t="s">
        <v>308</v>
      </c>
      <c r="B16" s="60" t="s">
        <v>41</v>
      </c>
      <c r="C16" s="60" t="s">
        <v>35</v>
      </c>
      <c r="D16" s="62">
        <v>1</v>
      </c>
      <c r="E16" s="63">
        <v>111</v>
      </c>
      <c r="F16" s="64">
        <v>54304</v>
      </c>
      <c r="G16" s="279" t="s">
        <v>310</v>
      </c>
      <c r="H16" s="36"/>
      <c r="O16" s="413"/>
    </row>
    <row r="17" spans="1:8" ht="21" hidden="1" customHeight="1">
      <c r="A17" s="60" t="s">
        <v>308</v>
      </c>
      <c r="B17" s="60" t="s">
        <v>41</v>
      </c>
      <c r="C17" s="60" t="s">
        <v>653</v>
      </c>
      <c r="D17" s="62">
        <v>1</v>
      </c>
      <c r="E17" s="63">
        <v>111</v>
      </c>
      <c r="F17" s="64">
        <v>54316</v>
      </c>
      <c r="G17" s="278" t="s">
        <v>156</v>
      </c>
      <c r="H17" s="36"/>
    </row>
    <row r="18" spans="1:8" ht="21" hidden="1" customHeight="1">
      <c r="A18" s="60" t="s">
        <v>308</v>
      </c>
      <c r="B18" s="60" t="s">
        <v>41</v>
      </c>
      <c r="C18" s="60" t="s">
        <v>654</v>
      </c>
      <c r="D18" s="62">
        <v>1</v>
      </c>
      <c r="E18" s="63">
        <v>111</v>
      </c>
      <c r="F18" s="64">
        <v>54317</v>
      </c>
      <c r="G18" s="279" t="s">
        <v>157</v>
      </c>
      <c r="H18" s="36"/>
    </row>
    <row r="19" spans="1:8" ht="21" hidden="1" customHeight="1">
      <c r="A19" s="60" t="s">
        <v>308</v>
      </c>
      <c r="B19" s="60" t="s">
        <v>41</v>
      </c>
      <c r="C19" s="60" t="s">
        <v>655</v>
      </c>
      <c r="D19" s="62">
        <v>1</v>
      </c>
      <c r="E19" s="63">
        <v>111</v>
      </c>
      <c r="F19" s="64">
        <v>54599</v>
      </c>
      <c r="G19" s="279" t="s">
        <v>550</v>
      </c>
      <c r="H19" s="343"/>
    </row>
    <row r="20" spans="1:8" ht="21" hidden="1" customHeight="1">
      <c r="A20" s="60" t="s">
        <v>308</v>
      </c>
      <c r="B20" s="60" t="s">
        <v>41</v>
      </c>
      <c r="C20" s="60" t="s">
        <v>656</v>
      </c>
      <c r="D20" s="62">
        <v>1</v>
      </c>
      <c r="E20" s="63">
        <v>111</v>
      </c>
      <c r="F20" s="49" t="s">
        <v>311</v>
      </c>
      <c r="G20" s="280" t="s">
        <v>109</v>
      </c>
      <c r="H20" s="343"/>
    </row>
    <row r="21" spans="1:8" ht="21" hidden="1" customHeight="1">
      <c r="A21" s="60" t="s">
        <v>308</v>
      </c>
      <c r="B21" s="60" t="s">
        <v>41</v>
      </c>
      <c r="C21" s="60" t="s">
        <v>657</v>
      </c>
      <c r="D21" s="62">
        <v>1</v>
      </c>
      <c r="E21" s="63">
        <v>111</v>
      </c>
      <c r="F21" s="85">
        <v>61599</v>
      </c>
      <c r="G21" s="281" t="s">
        <v>119</v>
      </c>
      <c r="H21" s="343"/>
    </row>
    <row r="22" spans="1:8" ht="21" hidden="1" customHeight="1">
      <c r="A22" s="60" t="s">
        <v>308</v>
      </c>
      <c r="B22" s="60" t="s">
        <v>41</v>
      </c>
      <c r="C22" s="60" t="s">
        <v>658</v>
      </c>
      <c r="D22" s="62">
        <v>1</v>
      </c>
      <c r="E22" s="63">
        <v>111</v>
      </c>
      <c r="F22" s="51">
        <v>61201</v>
      </c>
      <c r="G22" s="277" t="s">
        <v>116</v>
      </c>
      <c r="H22" s="343"/>
    </row>
    <row r="23" spans="1:8" ht="21" customHeight="1">
      <c r="A23" s="60" t="s">
        <v>308</v>
      </c>
      <c r="B23" s="60" t="s">
        <v>41</v>
      </c>
      <c r="C23" s="60" t="s">
        <v>35</v>
      </c>
      <c r="D23" s="62">
        <v>1</v>
      </c>
      <c r="E23" s="63">
        <v>111</v>
      </c>
      <c r="F23" s="64">
        <v>61601</v>
      </c>
      <c r="G23" s="278" t="s">
        <v>120</v>
      </c>
      <c r="H23" s="36"/>
    </row>
    <row r="24" spans="1:8" ht="21" customHeight="1">
      <c r="A24" s="63" t="str">
        <f>A23</f>
        <v>4</v>
      </c>
      <c r="B24" s="60" t="s">
        <v>41</v>
      </c>
      <c r="C24" s="60" t="s">
        <v>35</v>
      </c>
      <c r="D24" s="63">
        <f>D23</f>
        <v>1</v>
      </c>
      <c r="E24" s="72">
        <f>E23</f>
        <v>111</v>
      </c>
      <c r="F24" s="406">
        <v>61602</v>
      </c>
      <c r="G24" s="273" t="s">
        <v>121</v>
      </c>
      <c r="H24" s="36"/>
    </row>
    <row r="25" spans="1:8" ht="21" customHeight="1">
      <c r="A25" s="60" t="s">
        <v>308</v>
      </c>
      <c r="B25" s="60" t="s">
        <v>41</v>
      </c>
      <c r="C25" s="60" t="s">
        <v>35</v>
      </c>
      <c r="D25" s="62">
        <v>1</v>
      </c>
      <c r="E25" s="63">
        <v>111</v>
      </c>
      <c r="F25" s="64">
        <v>61606</v>
      </c>
      <c r="G25" s="278" t="s">
        <v>312</v>
      </c>
      <c r="H25" s="36"/>
    </row>
    <row r="26" spans="1:8" ht="21" customHeight="1">
      <c r="A26" s="60" t="s">
        <v>308</v>
      </c>
      <c r="B26" s="60" t="s">
        <v>41</v>
      </c>
      <c r="C26" s="60" t="s">
        <v>35</v>
      </c>
      <c r="D26" s="62">
        <v>1</v>
      </c>
      <c r="E26" s="63">
        <v>111</v>
      </c>
      <c r="F26" s="64">
        <v>61608</v>
      </c>
      <c r="G26" s="278" t="s">
        <v>124</v>
      </c>
      <c r="H26" s="202"/>
    </row>
    <row r="27" spans="1:8" ht="21" customHeight="1" thickBot="1">
      <c r="A27" s="1553" t="s">
        <v>22</v>
      </c>
      <c r="B27" s="1554"/>
      <c r="C27" s="1554"/>
      <c r="D27" s="1554"/>
      <c r="E27" s="1554"/>
      <c r="F27" s="1554"/>
      <c r="G27" s="1555"/>
      <c r="H27" s="400">
        <f>SUM(H10:H26)</f>
        <v>0</v>
      </c>
    </row>
    <row r="28" spans="1:8" ht="15.75" thickTop="1">
      <c r="A28" s="75"/>
      <c r="B28" s="75"/>
      <c r="C28" s="75"/>
      <c r="D28" s="5"/>
      <c r="E28" s="86"/>
      <c r="H28" s="68"/>
    </row>
    <row r="29" spans="1:8" ht="15">
      <c r="A29" s="75"/>
      <c r="B29" s="75"/>
      <c r="C29" s="75"/>
      <c r="D29" s="5"/>
      <c r="E29" s="86"/>
      <c r="H29" s="68"/>
    </row>
    <row r="30" spans="1:8" ht="15">
      <c r="A30" s="75"/>
      <c r="B30" s="75"/>
      <c r="C30" s="75"/>
      <c r="D30" s="5"/>
      <c r="E30" s="86"/>
      <c r="H30" s="68"/>
    </row>
    <row r="31" spans="1:8" ht="15">
      <c r="A31" s="75"/>
      <c r="B31" s="75"/>
      <c r="C31" s="75"/>
      <c r="D31" s="5"/>
      <c r="E31" s="86"/>
      <c r="H31" s="68"/>
    </row>
    <row r="32" spans="1:8" ht="15">
      <c r="A32" s="75"/>
      <c r="B32" s="75"/>
      <c r="C32" s="75"/>
      <c r="D32" s="5"/>
      <c r="E32" s="86"/>
      <c r="H32" s="68"/>
    </row>
    <row r="33" spans="1:8" ht="15">
      <c r="A33" s="75"/>
      <c r="B33" s="75"/>
      <c r="C33" s="75"/>
      <c r="D33" s="5"/>
      <c r="E33" s="86"/>
      <c r="H33" s="68"/>
    </row>
    <row r="34" spans="1:8" ht="15">
      <c r="A34" s="75"/>
      <c r="B34" s="75"/>
      <c r="C34" s="75"/>
      <c r="D34" s="5"/>
      <c r="E34" s="86"/>
      <c r="H34" s="68"/>
    </row>
    <row r="35" spans="1:8" ht="15">
      <c r="A35" s="75"/>
      <c r="B35" s="75"/>
      <c r="C35" s="75"/>
      <c r="D35" s="5"/>
      <c r="E35" s="86"/>
      <c r="H35" s="68"/>
    </row>
    <row r="36" spans="1:8" ht="15">
      <c r="A36" s="75"/>
      <c r="B36" s="75"/>
      <c r="C36" s="75"/>
      <c r="D36" s="5"/>
      <c r="E36" s="86"/>
      <c r="H36" s="68"/>
    </row>
    <row r="37" spans="1:8" ht="15">
      <c r="A37" s="75"/>
      <c r="B37" s="75"/>
      <c r="C37" s="75"/>
      <c r="D37" s="5"/>
      <c r="E37" s="86"/>
      <c r="H37" s="68"/>
    </row>
    <row r="38" spans="1:8" ht="15">
      <c r="A38" s="75"/>
      <c r="B38" s="75"/>
      <c r="C38" s="75"/>
      <c r="D38" s="5"/>
      <c r="E38" s="86"/>
      <c r="H38" s="68"/>
    </row>
    <row r="39" spans="1:8" ht="15">
      <c r="A39" s="75"/>
      <c r="B39" s="75"/>
      <c r="C39" s="75"/>
      <c r="D39" s="5"/>
      <c r="E39" s="86"/>
    </row>
    <row r="40" spans="1:8" ht="15">
      <c r="A40" s="75"/>
      <c r="B40" s="75"/>
      <c r="C40" s="75"/>
      <c r="D40" s="5"/>
      <c r="E40" s="86"/>
    </row>
    <row r="41" spans="1:8" ht="15">
      <c r="A41" s="75"/>
      <c r="B41" s="75"/>
      <c r="C41" s="75"/>
      <c r="D41" s="5"/>
      <c r="E41" s="86"/>
      <c r="H41" s="68"/>
    </row>
    <row r="42" spans="1:8" ht="15">
      <c r="A42" s="75"/>
      <c r="B42" s="75"/>
      <c r="C42" s="75"/>
      <c r="D42" s="5"/>
      <c r="E42" s="86"/>
      <c r="H42" s="68"/>
    </row>
    <row r="43" spans="1:8" ht="15">
      <c r="A43" s="75"/>
      <c r="B43" s="75"/>
      <c r="C43" s="75"/>
      <c r="D43" s="5"/>
      <c r="E43" s="86"/>
      <c r="H43" s="68"/>
    </row>
    <row r="44" spans="1:8" ht="15">
      <c r="A44" s="75"/>
      <c r="B44" s="75"/>
      <c r="C44" s="75"/>
      <c r="D44" s="5"/>
      <c r="E44" s="86"/>
      <c r="H44" s="68"/>
    </row>
    <row r="45" spans="1:8" ht="15">
      <c r="A45" s="75"/>
      <c r="B45" s="75"/>
      <c r="C45" s="75"/>
      <c r="D45" s="5"/>
      <c r="E45" s="86"/>
      <c r="H45" s="68"/>
    </row>
    <row r="46" spans="1:8" ht="15">
      <c r="A46" s="75"/>
      <c r="B46" s="75"/>
      <c r="C46" s="75"/>
      <c r="D46" s="5"/>
      <c r="E46" s="86"/>
      <c r="H46" s="68"/>
    </row>
    <row r="47" spans="1:8" ht="15">
      <c r="A47" s="75"/>
      <c r="B47" s="75"/>
      <c r="C47" s="75"/>
      <c r="D47" s="5"/>
      <c r="E47" s="86"/>
      <c r="H47" s="68"/>
    </row>
    <row r="48" spans="1:8" ht="15">
      <c r="A48" s="75"/>
      <c r="B48" s="75"/>
      <c r="C48" s="75"/>
      <c r="D48" s="5"/>
      <c r="E48" s="86"/>
      <c r="H48" s="68"/>
    </row>
    <row r="49" spans="1:8" ht="15">
      <c r="A49" s="75"/>
      <c r="B49" s="75"/>
      <c r="C49" s="75"/>
      <c r="D49" s="5"/>
      <c r="E49" s="86"/>
      <c r="H49" s="68"/>
    </row>
    <row r="50" spans="1:8" ht="15">
      <c r="A50" s="75"/>
      <c r="B50" s="75"/>
      <c r="C50" s="75"/>
      <c r="D50" s="5"/>
      <c r="E50" s="86"/>
      <c r="H50" s="68"/>
    </row>
    <row r="51" spans="1:8" ht="15">
      <c r="A51" s="75"/>
      <c r="B51" s="75"/>
      <c r="C51" s="75"/>
      <c r="D51" s="5"/>
      <c r="E51" s="86"/>
      <c r="H51" s="68"/>
    </row>
    <row r="52" spans="1:8" ht="15">
      <c r="A52" s="75"/>
      <c r="B52" s="75"/>
      <c r="C52" s="75"/>
      <c r="D52" s="5"/>
      <c r="E52" s="86"/>
      <c r="H52" s="68"/>
    </row>
    <row r="53" spans="1:8" ht="15">
      <c r="A53" s="75"/>
      <c r="B53" s="75"/>
      <c r="C53" s="75"/>
      <c r="D53" s="5"/>
      <c r="E53" s="86"/>
      <c r="H53" s="68"/>
    </row>
    <row r="54" spans="1:8" ht="15">
      <c r="A54" s="75"/>
      <c r="B54" s="75"/>
      <c r="C54" s="75"/>
      <c r="D54" s="5"/>
      <c r="E54" s="86"/>
      <c r="H54" s="68"/>
    </row>
    <row r="55" spans="1:8" ht="15">
      <c r="A55" s="75"/>
      <c r="B55" s="75"/>
      <c r="C55" s="75"/>
      <c r="D55" s="5"/>
      <c r="E55" s="86"/>
      <c r="H55" s="68"/>
    </row>
    <row r="56" spans="1:8" ht="15">
      <c r="A56" s="75"/>
      <c r="B56" s="75"/>
      <c r="C56" s="75"/>
      <c r="D56" s="5"/>
      <c r="E56" s="86"/>
      <c r="H56" s="68"/>
    </row>
    <row r="57" spans="1:8" ht="15">
      <c r="A57" s="75"/>
      <c r="B57" s="75"/>
      <c r="C57" s="75"/>
      <c r="D57" s="5"/>
      <c r="E57" s="86"/>
      <c r="H57" s="68"/>
    </row>
    <row r="58" spans="1:8" ht="15">
      <c r="A58" s="75"/>
      <c r="B58" s="75"/>
      <c r="C58" s="75"/>
      <c r="D58" s="5"/>
      <c r="E58" s="86"/>
      <c r="H58" s="68"/>
    </row>
    <row r="59" spans="1:8" ht="15">
      <c r="A59" s="75"/>
      <c r="B59" s="75"/>
      <c r="C59" s="75"/>
      <c r="D59" s="5"/>
      <c r="E59" s="86"/>
      <c r="H59" s="68"/>
    </row>
    <row r="60" spans="1:8" ht="15">
      <c r="A60" s="6"/>
      <c r="B60" s="6"/>
      <c r="C60" s="6"/>
      <c r="D60" s="5"/>
      <c r="E60" s="6"/>
      <c r="G60" s="282"/>
      <c r="H60" s="37"/>
    </row>
    <row r="61" spans="1:8" ht="15">
      <c r="A61" s="75"/>
      <c r="B61" s="75"/>
      <c r="C61" s="74"/>
      <c r="D61" s="5"/>
      <c r="E61" s="75"/>
      <c r="F61" s="52"/>
      <c r="G61" s="277"/>
      <c r="H61" s="68"/>
    </row>
    <row r="62" spans="1:8" ht="15">
      <c r="A62" s="75"/>
      <c r="B62" s="75"/>
      <c r="C62" s="74"/>
      <c r="D62" s="5"/>
      <c r="E62" s="75"/>
      <c r="F62" s="52"/>
      <c r="G62" s="277"/>
      <c r="H62" s="68"/>
    </row>
    <row r="63" spans="1:8" ht="15">
      <c r="A63" s="75"/>
      <c r="B63" s="75"/>
      <c r="C63" s="74"/>
      <c r="D63" s="5"/>
      <c r="E63" s="75"/>
      <c r="G63" s="69"/>
      <c r="H63" s="68"/>
    </row>
    <row r="64" spans="1:8" ht="15">
      <c r="A64" s="75"/>
      <c r="B64" s="75"/>
      <c r="C64" s="74"/>
      <c r="D64" s="5"/>
      <c r="E64" s="75"/>
      <c r="F64" s="52"/>
      <c r="G64" s="277"/>
      <c r="H64" s="68"/>
    </row>
    <row r="65" spans="1:8" ht="15">
      <c r="A65" s="75"/>
      <c r="B65" s="75"/>
      <c r="C65" s="74"/>
      <c r="D65" s="5"/>
      <c r="E65" s="75"/>
      <c r="F65" s="52"/>
      <c r="G65" s="277"/>
      <c r="H65" s="68"/>
    </row>
    <row r="66" spans="1:8" ht="15">
      <c r="A66" s="75"/>
      <c r="B66" s="75"/>
      <c r="C66" s="74"/>
      <c r="D66" s="5"/>
      <c r="E66" s="75"/>
      <c r="F66" s="52"/>
      <c r="G66" s="277"/>
      <c r="H66" s="68"/>
    </row>
    <row r="67" spans="1:8" ht="15">
      <c r="A67" s="75"/>
      <c r="B67" s="75"/>
      <c r="C67" s="74"/>
      <c r="D67" s="5"/>
      <c r="E67" s="75"/>
      <c r="H67" s="68"/>
    </row>
    <row r="68" spans="1:8" ht="15">
      <c r="A68" s="75"/>
      <c r="B68" s="75"/>
      <c r="C68" s="74"/>
      <c r="D68" s="5"/>
      <c r="E68" s="75"/>
      <c r="H68" s="68"/>
    </row>
    <row r="69" spans="1:8" ht="15">
      <c r="A69" s="75"/>
      <c r="B69" s="75"/>
      <c r="C69" s="74"/>
      <c r="D69" s="5"/>
      <c r="E69" s="75"/>
      <c r="H69" s="68"/>
    </row>
    <row r="70" spans="1:8" ht="15">
      <c r="A70" s="75"/>
      <c r="B70" s="75"/>
      <c r="C70" s="74"/>
      <c r="D70" s="5"/>
      <c r="E70" s="75"/>
      <c r="H70" s="68"/>
    </row>
    <row r="71" spans="1:8" ht="15">
      <c r="A71" s="6"/>
      <c r="B71" s="6"/>
      <c r="C71" s="6"/>
      <c r="D71" s="5"/>
      <c r="E71" s="6"/>
      <c r="G71" s="282"/>
      <c r="H71" s="37"/>
    </row>
    <row r="72" spans="1:8" ht="15">
      <c r="A72" s="75"/>
      <c r="B72" s="74"/>
      <c r="C72" s="74"/>
      <c r="D72" s="5"/>
      <c r="E72" s="75"/>
      <c r="F72" s="52"/>
      <c r="G72" s="277"/>
      <c r="H72" s="68"/>
    </row>
    <row r="73" spans="1:8" ht="15">
      <c r="A73" s="75"/>
      <c r="B73" s="74"/>
      <c r="C73" s="74"/>
      <c r="D73" s="5"/>
      <c r="E73" s="75"/>
      <c r="F73" s="52"/>
      <c r="G73" s="277"/>
      <c r="H73" s="68"/>
    </row>
    <row r="74" spans="1:8" ht="15">
      <c r="A74" s="75"/>
      <c r="B74" s="74"/>
      <c r="C74" s="74"/>
      <c r="D74" s="5"/>
      <c r="E74" s="75"/>
      <c r="F74" s="52"/>
      <c r="G74" s="277"/>
      <c r="H74" s="68"/>
    </row>
    <row r="75" spans="1:8" ht="15">
      <c r="A75" s="75"/>
      <c r="B75" s="74"/>
      <c r="C75" s="74"/>
      <c r="D75" s="5"/>
      <c r="E75" s="75"/>
      <c r="F75" s="52"/>
      <c r="G75" s="277"/>
      <c r="H75" s="68"/>
    </row>
    <row r="76" spans="1:8" ht="15">
      <c r="A76" s="75"/>
      <c r="B76" s="74"/>
      <c r="C76" s="74"/>
      <c r="D76" s="5"/>
      <c r="E76" s="75"/>
      <c r="H76" s="68"/>
    </row>
    <row r="77" spans="1:8" ht="15">
      <c r="A77" s="75"/>
      <c r="B77" s="74"/>
      <c r="C77" s="74"/>
      <c r="D77" s="5"/>
      <c r="E77" s="75"/>
      <c r="H77" s="68"/>
    </row>
    <row r="78" spans="1:8" ht="15">
      <c r="A78" s="6"/>
      <c r="B78" s="6"/>
      <c r="C78" s="6"/>
      <c r="D78" s="5"/>
      <c r="E78" s="6"/>
      <c r="G78" s="282"/>
      <c r="H78" s="37"/>
    </row>
    <row r="79" spans="1:8" ht="15">
      <c r="A79" s="75"/>
      <c r="B79" s="74"/>
      <c r="C79" s="74"/>
      <c r="D79" s="5"/>
      <c r="E79" s="75"/>
      <c r="F79" s="52"/>
      <c r="G79" s="277"/>
      <c r="H79" s="68"/>
    </row>
    <row r="80" spans="1:8" ht="15">
      <c r="A80" s="75"/>
      <c r="B80" s="74"/>
      <c r="C80" s="74"/>
      <c r="D80" s="5"/>
      <c r="E80" s="75"/>
      <c r="F80" s="52"/>
      <c r="G80" s="277"/>
      <c r="H80" s="68"/>
    </row>
    <row r="81" spans="1:8" ht="15">
      <c r="A81" s="75"/>
      <c r="B81" s="74"/>
      <c r="C81" s="74"/>
      <c r="D81" s="5"/>
      <c r="E81" s="75"/>
      <c r="H81" s="68"/>
    </row>
    <row r="82" spans="1:8" ht="15">
      <c r="A82" s="75"/>
      <c r="B82" s="74"/>
      <c r="C82" s="74"/>
      <c r="D82" s="5"/>
      <c r="E82" s="75"/>
      <c r="F82" s="52"/>
      <c r="G82" s="277"/>
      <c r="H82" s="68"/>
    </row>
    <row r="83" spans="1:8" ht="15">
      <c r="A83" s="75"/>
      <c r="B83" s="74"/>
      <c r="C83" s="74"/>
      <c r="D83" s="5"/>
      <c r="E83" s="75"/>
      <c r="F83" s="52"/>
      <c r="G83" s="277"/>
      <c r="H83" s="68"/>
    </row>
    <row r="84" spans="1:8" ht="15">
      <c r="A84" s="75"/>
      <c r="B84" s="74"/>
      <c r="C84" s="74"/>
      <c r="D84" s="5"/>
      <c r="E84" s="75"/>
      <c r="H84" s="68"/>
    </row>
    <row r="85" spans="1:8" ht="15">
      <c r="A85" s="75"/>
      <c r="B85" s="74"/>
      <c r="C85" s="74"/>
      <c r="D85" s="5"/>
      <c r="E85" s="75"/>
      <c r="H85" s="68"/>
    </row>
    <row r="86" spans="1:8" ht="15">
      <c r="A86" s="75"/>
      <c r="B86" s="74"/>
      <c r="C86" s="74"/>
      <c r="D86" s="5"/>
      <c r="E86" s="75"/>
      <c r="H86" s="68"/>
    </row>
    <row r="87" spans="1:8" ht="15">
      <c r="A87" s="75"/>
      <c r="B87" s="74"/>
      <c r="C87" s="74"/>
      <c r="D87" s="5"/>
      <c r="E87" s="75"/>
      <c r="H87" s="68"/>
    </row>
    <row r="88" spans="1:8" ht="15">
      <c r="A88" s="75"/>
      <c r="B88" s="74"/>
      <c r="C88" s="74"/>
      <c r="D88" s="5"/>
      <c r="E88" s="75"/>
      <c r="H88" s="68"/>
    </row>
    <row r="89" spans="1:8" ht="15">
      <c r="A89" s="75"/>
      <c r="B89" s="74"/>
      <c r="C89" s="74"/>
      <c r="D89" s="5"/>
      <c r="E89" s="75"/>
      <c r="H89" s="68"/>
    </row>
    <row r="90" spans="1:8" ht="15">
      <c r="A90" s="75"/>
      <c r="B90" s="74"/>
      <c r="C90" s="74"/>
      <c r="D90" s="5"/>
      <c r="E90" s="75"/>
      <c r="H90" s="68"/>
    </row>
    <row r="91" spans="1:8" ht="15">
      <c r="A91" s="75"/>
      <c r="B91" s="74"/>
      <c r="C91" s="74"/>
      <c r="D91" s="5"/>
      <c r="E91" s="75"/>
      <c r="H91" s="68"/>
    </row>
    <row r="92" spans="1:8" ht="15">
      <c r="A92" s="75"/>
      <c r="B92" s="74"/>
      <c r="C92" s="74"/>
      <c r="D92" s="5"/>
      <c r="E92" s="75"/>
      <c r="H92" s="68"/>
    </row>
    <row r="93" spans="1:8" ht="15">
      <c r="A93" s="75"/>
      <c r="B93" s="74"/>
      <c r="C93" s="74"/>
      <c r="D93" s="5"/>
      <c r="E93" s="75"/>
      <c r="H93" s="68"/>
    </row>
    <row r="94" spans="1:8" ht="15">
      <c r="A94" s="75"/>
      <c r="B94" s="74"/>
      <c r="C94" s="74"/>
      <c r="D94" s="5"/>
      <c r="E94" s="75"/>
      <c r="G94" s="69"/>
      <c r="H94" s="68"/>
    </row>
    <row r="95" spans="1:8" ht="15">
      <c r="A95" s="6"/>
      <c r="B95" s="6"/>
      <c r="C95" s="6"/>
      <c r="D95" s="33"/>
      <c r="E95" s="6"/>
      <c r="G95" s="282"/>
      <c r="H95" s="37"/>
    </row>
    <row r="96" spans="1:8" ht="15">
      <c r="A96" s="6"/>
      <c r="B96" s="6"/>
      <c r="C96" s="6"/>
      <c r="D96" s="33"/>
      <c r="E96" s="6"/>
      <c r="G96" s="283"/>
      <c r="H96" s="37"/>
    </row>
  </sheetData>
  <mergeCells count="10">
    <mergeCell ref="A8:F8"/>
    <mergeCell ref="G8:G9"/>
    <mergeCell ref="H8:H9"/>
    <mergeCell ref="A27:G27"/>
    <mergeCell ref="A1:H1"/>
    <mergeCell ref="A2:H2"/>
    <mergeCell ref="A3:H3"/>
    <mergeCell ref="A4:H4"/>
    <mergeCell ref="A5:H6"/>
    <mergeCell ref="A7:H7"/>
  </mergeCells>
  <pageMargins left="0.83" right="0.12" top="0.75" bottom="0.75" header="0.3" footer="0.3"/>
  <pageSetup paperSize="9" orientation="portrait" horizontalDpi="0" verticalDpi="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32"/>
  <sheetViews>
    <sheetView workbookViewId="0">
      <selection activeCell="K22" sqref="K22"/>
    </sheetView>
  </sheetViews>
  <sheetFormatPr baseColWidth="10" defaultRowHeight="12.75"/>
  <cols>
    <col min="1" max="1" width="4.5703125" customWidth="1"/>
    <col min="2" max="2" width="6.28515625" customWidth="1"/>
    <col min="3" max="3" width="5.140625" customWidth="1"/>
    <col min="4" max="4" width="6.28515625" customWidth="1"/>
    <col min="5" max="5" width="8" customWidth="1"/>
    <col min="6" max="6" width="9" customWidth="1"/>
    <col min="7" max="7" width="43.42578125" customWidth="1"/>
    <col min="8" max="8" width="16.7109375" customWidth="1"/>
    <col min="9" max="9" width="11.85546875" bestFit="1" customWidth="1"/>
  </cols>
  <sheetData>
    <row r="1" spans="1:19" ht="18">
      <c r="A1" s="3"/>
      <c r="B1" s="87"/>
      <c r="C1" s="58"/>
      <c r="D1" s="58"/>
      <c r="E1" s="58"/>
      <c r="F1" s="58"/>
      <c r="G1" s="58"/>
      <c r="H1" s="88"/>
    </row>
    <row r="2" spans="1:19" ht="18.75">
      <c r="A2" s="1546" t="s">
        <v>79</v>
      </c>
      <c r="B2" s="1546"/>
      <c r="C2" s="1546"/>
      <c r="D2" s="1546"/>
      <c r="E2" s="1546"/>
      <c r="F2" s="1546"/>
      <c r="G2" s="1546"/>
      <c r="H2" s="1546"/>
      <c r="I2" s="7"/>
      <c r="J2" s="7"/>
      <c r="K2" s="7"/>
    </row>
    <row r="3" spans="1:19" ht="18.75">
      <c r="A3" s="1546" t="s">
        <v>78</v>
      </c>
      <c r="B3" s="1546"/>
      <c r="C3" s="1546"/>
      <c r="D3" s="1546"/>
      <c r="E3" s="1546"/>
      <c r="F3" s="1546"/>
      <c r="G3" s="1546"/>
      <c r="H3" s="1546"/>
      <c r="I3" s="7"/>
      <c r="J3" s="7"/>
      <c r="K3" s="7"/>
    </row>
    <row r="4" spans="1:19" ht="18.75">
      <c r="A4" s="1519" t="s">
        <v>626</v>
      </c>
      <c r="B4" s="1546"/>
      <c r="C4" s="1546"/>
      <c r="D4" s="1546"/>
      <c r="E4" s="1546"/>
      <c r="F4" s="1546"/>
      <c r="G4" s="1546"/>
      <c r="H4" s="1546"/>
    </row>
    <row r="5" spans="1:19" ht="18.75">
      <c r="A5" s="1519" t="s">
        <v>11</v>
      </c>
      <c r="B5" s="1557"/>
      <c r="C5" s="1557"/>
      <c r="D5" s="1557"/>
      <c r="E5" s="1557"/>
      <c r="F5" s="1557"/>
      <c r="G5" s="1557"/>
      <c r="H5" s="1557"/>
    </row>
    <row r="6" spans="1:19" ht="18.75" customHeight="1">
      <c r="A6" s="1558" t="s">
        <v>26</v>
      </c>
      <c r="B6" s="1558"/>
      <c r="C6" s="1558"/>
      <c r="D6" s="1558"/>
      <c r="E6" s="1558"/>
      <c r="F6" s="1558"/>
      <c r="G6" s="1558"/>
      <c r="H6" s="1558"/>
    </row>
    <row r="7" spans="1:19" ht="15">
      <c r="A7" s="1562" t="s">
        <v>435</v>
      </c>
      <c r="B7" s="1562"/>
      <c r="C7" s="1562"/>
      <c r="D7" s="1562"/>
      <c r="E7" s="1562"/>
      <c r="F7" s="1562"/>
      <c r="G7" s="1562"/>
      <c r="H7" s="1562"/>
    </row>
    <row r="8" spans="1:19" ht="15.75" customHeight="1">
      <c r="A8" s="1562" t="s">
        <v>434</v>
      </c>
      <c r="B8" s="1562"/>
      <c r="C8" s="1562"/>
      <c r="D8" s="1562"/>
      <c r="E8" s="1562"/>
      <c r="F8" s="1562"/>
      <c r="G8" s="1562"/>
      <c r="H8" s="1562"/>
    </row>
    <row r="9" spans="1:19" ht="24" customHeight="1">
      <c r="A9" s="1559" t="s">
        <v>8</v>
      </c>
      <c r="B9" s="1559"/>
      <c r="C9" s="1559"/>
      <c r="D9" s="1559"/>
      <c r="E9" s="1559"/>
      <c r="F9" s="1559"/>
      <c r="G9" s="1560" t="s">
        <v>20</v>
      </c>
      <c r="H9" s="1561" t="s">
        <v>27</v>
      </c>
    </row>
    <row r="10" spans="1:19" ht="59.25" customHeight="1">
      <c r="A10" s="418" t="s">
        <v>16</v>
      </c>
      <c r="B10" s="419" t="s">
        <v>179</v>
      </c>
      <c r="C10" s="418" t="s">
        <v>17</v>
      </c>
      <c r="D10" s="418" t="s">
        <v>21</v>
      </c>
      <c r="E10" s="418" t="s">
        <v>18</v>
      </c>
      <c r="F10" s="418" t="s">
        <v>19</v>
      </c>
      <c r="G10" s="1560"/>
      <c r="H10" s="1561"/>
      <c r="S10" s="289"/>
    </row>
    <row r="11" spans="1:19" ht="20.25" customHeight="1" thickBot="1">
      <c r="A11" s="420">
        <v>5</v>
      </c>
      <c r="B11" s="421" t="s">
        <v>40</v>
      </c>
      <c r="C11" s="421" t="s">
        <v>33</v>
      </c>
      <c r="D11" s="421" t="s">
        <v>36</v>
      </c>
      <c r="E11" s="421" t="s">
        <v>37</v>
      </c>
      <c r="F11" s="422" t="s">
        <v>73</v>
      </c>
      <c r="G11" s="423" t="s">
        <v>76</v>
      </c>
      <c r="H11" s="424"/>
    </row>
    <row r="12" spans="1:19" ht="20.25" customHeight="1">
      <c r="A12" s="425">
        <v>5</v>
      </c>
      <c r="B12" s="426" t="s">
        <v>40</v>
      </c>
      <c r="C12" s="426" t="s">
        <v>33</v>
      </c>
      <c r="D12" s="426" t="s">
        <v>36</v>
      </c>
      <c r="E12" s="426" t="s">
        <v>37</v>
      </c>
      <c r="F12" s="427" t="s">
        <v>75</v>
      </c>
      <c r="G12" s="428" t="s">
        <v>77</v>
      </c>
      <c r="H12" s="429"/>
      <c r="I12" s="201"/>
    </row>
    <row r="13" spans="1:19" ht="20.25" customHeight="1">
      <c r="A13" s="425">
        <v>5</v>
      </c>
      <c r="B13" s="426" t="s">
        <v>40</v>
      </c>
      <c r="C13" s="426" t="s">
        <v>33</v>
      </c>
      <c r="D13" s="426" t="s">
        <v>36</v>
      </c>
      <c r="E13" s="426" t="s">
        <v>37</v>
      </c>
      <c r="F13" s="427" t="s">
        <v>74</v>
      </c>
      <c r="G13" s="430" t="s">
        <v>77</v>
      </c>
      <c r="H13" s="431"/>
      <c r="I13" s="201"/>
    </row>
    <row r="14" spans="1:19" ht="19.5" customHeight="1" thickBot="1">
      <c r="A14" s="1564" t="s">
        <v>592</v>
      </c>
      <c r="B14" s="1565"/>
      <c r="C14" s="1565"/>
      <c r="D14" s="1565"/>
      <c r="E14" s="1565"/>
      <c r="F14" s="1565"/>
      <c r="G14" s="1566"/>
      <c r="H14" s="432">
        <f>SUM(H11:H13)</f>
        <v>0</v>
      </c>
    </row>
    <row r="15" spans="1:19" ht="24" customHeight="1">
      <c r="A15" s="288"/>
      <c r="B15" s="89"/>
      <c r="C15" s="90"/>
      <c r="D15" s="91"/>
      <c r="E15" s="91"/>
      <c r="F15" s="91"/>
      <c r="G15" s="3"/>
      <c r="H15" s="92"/>
    </row>
    <row r="16" spans="1:19" ht="18">
      <c r="A16" s="1563"/>
      <c r="B16" s="1563"/>
      <c r="C16" s="1563"/>
      <c r="D16" s="1563"/>
      <c r="E16" s="1563"/>
      <c r="F16" s="1563"/>
      <c r="G16" s="3"/>
      <c r="H16" s="92"/>
    </row>
    <row r="17" spans="1:8" ht="15">
      <c r="A17" s="1556"/>
      <c r="B17" s="1556"/>
      <c r="C17" s="1556"/>
      <c r="D17" s="1556"/>
      <c r="E17" s="1556"/>
      <c r="F17" s="1556"/>
      <c r="G17" s="1556"/>
      <c r="H17" s="92"/>
    </row>
    <row r="18" spans="1:8" ht="15">
      <c r="A18" s="1556"/>
      <c r="B18" s="1556"/>
      <c r="C18" s="1556"/>
      <c r="D18" s="1556"/>
      <c r="E18" s="1556"/>
      <c r="F18" s="1556"/>
      <c r="G18" s="1556"/>
      <c r="H18" s="92"/>
    </row>
    <row r="19" spans="1:8" ht="15">
      <c r="A19" s="89"/>
      <c r="B19" s="89"/>
      <c r="C19" s="90"/>
      <c r="D19" s="91"/>
      <c r="E19" s="91"/>
      <c r="F19" s="91"/>
      <c r="G19" s="3"/>
      <c r="H19" s="92"/>
    </row>
    <row r="20" spans="1:8" ht="15">
      <c r="A20" s="89"/>
      <c r="B20" s="89"/>
      <c r="C20" s="90"/>
      <c r="D20" s="91"/>
      <c r="E20" s="91"/>
      <c r="F20" s="91"/>
      <c r="G20" s="3"/>
      <c r="H20" s="92"/>
    </row>
    <row r="21" spans="1:8" ht="18">
      <c r="A21" s="93"/>
      <c r="B21" s="94"/>
      <c r="C21" s="90"/>
      <c r="D21" s="91"/>
      <c r="E21" s="91"/>
      <c r="F21" s="91"/>
      <c r="G21" s="3"/>
      <c r="H21" s="92"/>
    </row>
    <row r="22" spans="1:8" ht="18">
      <c r="A22" s="93"/>
      <c r="B22" s="94"/>
      <c r="C22" s="90"/>
      <c r="D22" s="91"/>
      <c r="E22" s="91"/>
      <c r="F22" s="91"/>
      <c r="G22" s="3"/>
      <c r="H22" s="92"/>
    </row>
    <row r="23" spans="1:8" ht="15">
      <c r="A23" s="95"/>
      <c r="B23" s="57"/>
      <c r="C23" s="90"/>
      <c r="D23" s="91"/>
      <c r="E23" s="91"/>
      <c r="F23" s="91"/>
      <c r="G23" s="3"/>
      <c r="H23" s="92"/>
    </row>
    <row r="24" spans="1:8" ht="15">
      <c r="A24" s="95"/>
      <c r="B24" s="89"/>
      <c r="C24" s="90"/>
      <c r="D24" s="91"/>
      <c r="E24" s="91"/>
      <c r="F24" s="91"/>
      <c r="G24" s="3"/>
      <c r="H24" s="92"/>
    </row>
    <row r="25" spans="1:8" ht="15">
      <c r="A25" s="95"/>
      <c r="B25" s="89"/>
      <c r="C25" s="90"/>
      <c r="D25" s="91"/>
      <c r="E25" s="91"/>
      <c r="F25" s="91"/>
      <c r="G25" s="3"/>
      <c r="H25" s="92"/>
    </row>
    <row r="26" spans="1:8" ht="15">
      <c r="A26" s="95"/>
      <c r="B26" s="89"/>
      <c r="C26" s="90"/>
      <c r="D26" s="91"/>
      <c r="E26" s="91"/>
      <c r="F26" s="91"/>
      <c r="G26" s="3"/>
      <c r="H26" s="92"/>
    </row>
    <row r="27" spans="1:8" ht="15">
      <c r="A27" s="95"/>
      <c r="B27" s="89"/>
      <c r="C27" s="90"/>
      <c r="D27" s="91"/>
      <c r="E27" s="91"/>
      <c r="F27" s="91"/>
      <c r="G27" s="3"/>
      <c r="H27" s="92"/>
    </row>
    <row r="28" spans="1:8" ht="15">
      <c r="A28" s="95"/>
      <c r="B28" s="89"/>
      <c r="C28" s="90"/>
      <c r="D28" s="91"/>
      <c r="E28" s="91"/>
      <c r="F28" s="91"/>
      <c r="G28" s="3"/>
      <c r="H28" s="92"/>
    </row>
    <row r="29" spans="1:8" ht="15">
      <c r="A29" s="95"/>
      <c r="B29" s="89"/>
      <c r="C29" s="90"/>
      <c r="D29" s="91"/>
      <c r="E29" s="91"/>
      <c r="F29" s="91"/>
      <c r="G29" s="3"/>
      <c r="H29" s="92"/>
    </row>
    <row r="30" spans="1:8" ht="15">
      <c r="A30" s="96"/>
      <c r="B30" s="89"/>
      <c r="C30" s="90"/>
      <c r="D30" s="91"/>
      <c r="E30" s="91"/>
      <c r="F30" s="91"/>
      <c r="G30" s="3"/>
      <c r="H30" s="92"/>
    </row>
    <row r="31" spans="1:8" ht="15">
      <c r="A31" s="96"/>
      <c r="B31" s="89"/>
      <c r="C31" s="90"/>
      <c r="D31" s="91"/>
      <c r="E31" s="91"/>
      <c r="F31" s="91"/>
      <c r="G31" s="3"/>
      <c r="H31" s="92"/>
    </row>
    <row r="32" spans="1:8" ht="15">
      <c r="A32" s="20"/>
      <c r="B32" s="89"/>
      <c r="C32" s="90"/>
      <c r="D32" s="91"/>
      <c r="E32" s="91"/>
      <c r="F32" s="91"/>
      <c r="G32" s="3"/>
      <c r="H32" s="92"/>
    </row>
  </sheetData>
  <mergeCells count="14">
    <mergeCell ref="A18:G18"/>
    <mergeCell ref="A2:H2"/>
    <mergeCell ref="A3:H3"/>
    <mergeCell ref="A5:H5"/>
    <mergeCell ref="A6:H6"/>
    <mergeCell ref="A9:F9"/>
    <mergeCell ref="G9:G10"/>
    <mergeCell ref="H9:H10"/>
    <mergeCell ref="A4:H4"/>
    <mergeCell ref="A8:H8"/>
    <mergeCell ref="A16:F16"/>
    <mergeCell ref="A17:G17"/>
    <mergeCell ref="A7:H7"/>
    <mergeCell ref="A14:G14"/>
  </mergeCells>
  <phoneticPr fontId="10" type="noConversion"/>
  <pageMargins left="0.85" right="0.11811023622047245" top="1.1399999999999999" bottom="0.27559055118110237" header="0.11811023622047245" footer="0"/>
  <pageSetup scale="95" orientation="portrait"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99"/>
  <sheetViews>
    <sheetView workbookViewId="0">
      <selection activeCell="Q32" sqref="Q32"/>
    </sheetView>
  </sheetViews>
  <sheetFormatPr baseColWidth="10" defaultRowHeight="12.75"/>
  <cols>
    <col min="1" max="1" width="3.85546875" customWidth="1"/>
    <col min="2" max="2" width="4.7109375" customWidth="1"/>
    <col min="3" max="3" width="5" customWidth="1"/>
    <col min="4" max="4" width="4.42578125" customWidth="1"/>
    <col min="5" max="5" width="6.140625" customWidth="1"/>
    <col min="6" max="6" width="8" style="51" customWidth="1"/>
    <col min="7" max="7" width="42.85546875" style="8" customWidth="1"/>
    <col min="8" max="8" width="16.7109375" customWidth="1"/>
  </cols>
  <sheetData>
    <row r="1" spans="1:8" ht="24" customHeight="1">
      <c r="A1" s="1546" t="s">
        <v>79</v>
      </c>
      <c r="B1" s="1546"/>
      <c r="C1" s="1546"/>
      <c r="D1" s="1546"/>
      <c r="E1" s="1546"/>
      <c r="F1" s="1546"/>
      <c r="G1" s="1546"/>
      <c r="H1" s="1546"/>
    </row>
    <row r="2" spans="1:8" ht="24" customHeight="1">
      <c r="A2" s="1546" t="s">
        <v>78</v>
      </c>
      <c r="B2" s="1546"/>
      <c r="C2" s="1546"/>
      <c r="D2" s="1546"/>
      <c r="E2" s="1546"/>
      <c r="F2" s="1546"/>
      <c r="G2" s="1546"/>
      <c r="H2" s="1546"/>
    </row>
    <row r="3" spans="1:8" ht="24" customHeight="1">
      <c r="A3" s="1519" t="s">
        <v>636</v>
      </c>
      <c r="B3" s="1519"/>
      <c r="C3" s="1519"/>
      <c r="D3" s="1519"/>
      <c r="E3" s="1519"/>
      <c r="F3" s="1519"/>
      <c r="G3" s="1519"/>
      <c r="H3" s="1519"/>
    </row>
    <row r="4" spans="1:8" ht="24" customHeight="1">
      <c r="A4" s="1519" t="s">
        <v>11</v>
      </c>
      <c r="B4" s="1519"/>
      <c r="C4" s="1519"/>
      <c r="D4" s="1519"/>
      <c r="E4" s="1519"/>
      <c r="F4" s="1519"/>
      <c r="G4" s="1519"/>
      <c r="H4" s="1519"/>
    </row>
    <row r="5" spans="1:8">
      <c r="A5" s="1547" t="s">
        <v>23</v>
      </c>
      <c r="B5" s="1547"/>
      <c r="C5" s="1547"/>
      <c r="D5" s="1547"/>
      <c r="E5" s="1547"/>
      <c r="F5" s="1547"/>
      <c r="G5" s="1547"/>
      <c r="H5" s="1547"/>
    </row>
    <row r="6" spans="1:8">
      <c r="A6" s="1547"/>
      <c r="B6" s="1547"/>
      <c r="C6" s="1547"/>
      <c r="D6" s="1547"/>
      <c r="E6" s="1547"/>
      <c r="F6" s="1547"/>
      <c r="G6" s="1547"/>
      <c r="H6" s="1547"/>
    </row>
    <row r="7" spans="1:8" ht="18">
      <c r="A7" s="1548" t="s">
        <v>643</v>
      </c>
      <c r="B7" s="1549"/>
      <c r="C7" s="1549"/>
      <c r="D7" s="1549"/>
      <c r="E7" s="1549"/>
      <c r="F7" s="1549"/>
      <c r="G7" s="1549"/>
      <c r="H7" s="1549"/>
    </row>
    <row r="8" spans="1:8" ht="15">
      <c r="A8" s="1550" t="s">
        <v>8</v>
      </c>
      <c r="B8" s="1550"/>
      <c r="C8" s="1550"/>
      <c r="D8" s="1550"/>
      <c r="E8" s="1550"/>
      <c r="F8" s="1550"/>
      <c r="G8" s="1551" t="s">
        <v>20</v>
      </c>
      <c r="H8" s="1552" t="s">
        <v>27</v>
      </c>
    </row>
    <row r="9" spans="1:8" ht="106.5">
      <c r="A9" s="397" t="s">
        <v>16</v>
      </c>
      <c r="B9" s="398" t="s">
        <v>179</v>
      </c>
      <c r="C9" s="397" t="s">
        <v>17</v>
      </c>
      <c r="D9" s="397" t="s">
        <v>21</v>
      </c>
      <c r="E9" s="399" t="s">
        <v>314</v>
      </c>
      <c r="F9" s="397" t="s">
        <v>19</v>
      </c>
      <c r="G9" s="1551"/>
      <c r="H9" s="1552"/>
    </row>
    <row r="10" spans="1:8" ht="24" customHeight="1">
      <c r="A10" s="60" t="s">
        <v>650</v>
      </c>
      <c r="B10" s="60" t="s">
        <v>41</v>
      </c>
      <c r="C10" s="60" t="s">
        <v>33</v>
      </c>
      <c r="D10" s="62">
        <v>1</v>
      </c>
      <c r="E10" s="63">
        <v>109</v>
      </c>
      <c r="F10" s="50" t="s">
        <v>173</v>
      </c>
      <c r="G10" s="278" t="s">
        <v>85</v>
      </c>
      <c r="H10" s="36"/>
    </row>
    <row r="11" spans="1:8" ht="24" hidden="1" customHeight="1">
      <c r="A11" s="60" t="s">
        <v>308</v>
      </c>
      <c r="B11" s="60" t="s">
        <v>41</v>
      </c>
      <c r="C11" s="60" t="s">
        <v>33</v>
      </c>
      <c r="D11" s="62">
        <v>1</v>
      </c>
      <c r="E11" s="63">
        <v>111</v>
      </c>
      <c r="F11" s="221" t="s">
        <v>425</v>
      </c>
      <c r="G11" s="278" t="s">
        <v>547</v>
      </c>
      <c r="H11" s="36"/>
    </row>
    <row r="12" spans="1:8" ht="24" hidden="1" customHeight="1">
      <c r="A12" s="60" t="s">
        <v>308</v>
      </c>
      <c r="B12" s="60" t="s">
        <v>41</v>
      </c>
      <c r="C12" s="60" t="s">
        <v>33</v>
      </c>
      <c r="D12" s="62">
        <v>1</v>
      </c>
      <c r="E12" s="63">
        <v>111</v>
      </c>
      <c r="F12" s="221" t="s">
        <v>455</v>
      </c>
      <c r="G12" s="278" t="s">
        <v>456</v>
      </c>
      <c r="H12" s="36"/>
    </row>
    <row r="13" spans="1:8" ht="24" hidden="1" customHeight="1">
      <c r="A13" s="60" t="s">
        <v>308</v>
      </c>
      <c r="B13" s="60" t="s">
        <v>41</v>
      </c>
      <c r="C13" s="60" t="s">
        <v>33</v>
      </c>
      <c r="D13" s="62">
        <v>1</v>
      </c>
      <c r="E13" s="63">
        <v>111</v>
      </c>
      <c r="F13" s="49" t="s">
        <v>407</v>
      </c>
      <c r="G13" s="278" t="s">
        <v>131</v>
      </c>
      <c r="H13" s="36"/>
    </row>
    <row r="14" spans="1:8" ht="24" hidden="1" customHeight="1">
      <c r="A14" s="60" t="s">
        <v>308</v>
      </c>
      <c r="B14" s="60" t="s">
        <v>41</v>
      </c>
      <c r="C14" s="60" t="s">
        <v>33</v>
      </c>
      <c r="D14" s="62">
        <v>1</v>
      </c>
      <c r="E14" s="63">
        <v>111</v>
      </c>
      <c r="F14" s="222" t="s">
        <v>502</v>
      </c>
      <c r="G14" s="278" t="s">
        <v>548</v>
      </c>
      <c r="H14" s="36"/>
    </row>
    <row r="15" spans="1:8" ht="24" hidden="1" customHeight="1">
      <c r="A15" s="60" t="s">
        <v>308</v>
      </c>
      <c r="B15" s="60" t="s">
        <v>41</v>
      </c>
      <c r="C15" s="60" t="s">
        <v>33</v>
      </c>
      <c r="D15" s="62">
        <v>1</v>
      </c>
      <c r="E15" s="63">
        <v>111</v>
      </c>
      <c r="F15" s="64">
        <v>54111</v>
      </c>
      <c r="G15" s="278" t="s">
        <v>135</v>
      </c>
      <c r="H15" s="202"/>
    </row>
    <row r="16" spans="1:8" ht="24" hidden="1" customHeight="1">
      <c r="A16" s="60" t="s">
        <v>308</v>
      </c>
      <c r="B16" s="60" t="s">
        <v>41</v>
      </c>
      <c r="C16" s="60" t="s">
        <v>33</v>
      </c>
      <c r="D16" s="62">
        <v>1</v>
      </c>
      <c r="E16" s="63">
        <v>111</v>
      </c>
      <c r="F16" s="64">
        <v>54112</v>
      </c>
      <c r="G16" s="278" t="s">
        <v>136</v>
      </c>
      <c r="H16" s="36"/>
    </row>
    <row r="17" spans="1:8" ht="24" hidden="1" customHeight="1">
      <c r="A17" s="60" t="s">
        <v>308</v>
      </c>
      <c r="B17" s="60" t="s">
        <v>41</v>
      </c>
      <c r="C17" s="60" t="s">
        <v>33</v>
      </c>
      <c r="D17" s="62">
        <v>1</v>
      </c>
      <c r="E17" s="63">
        <v>111</v>
      </c>
      <c r="F17" s="64">
        <v>54118</v>
      </c>
      <c r="G17" s="278" t="s">
        <v>381</v>
      </c>
      <c r="H17" s="202"/>
    </row>
    <row r="18" spans="1:8" ht="24" hidden="1" customHeight="1">
      <c r="A18" s="60" t="s">
        <v>308</v>
      </c>
      <c r="B18" s="60" t="s">
        <v>41</v>
      </c>
      <c r="C18" s="60" t="s">
        <v>33</v>
      </c>
      <c r="D18" s="62">
        <v>1</v>
      </c>
      <c r="E18" s="63">
        <v>111</v>
      </c>
      <c r="F18" s="64">
        <v>54199</v>
      </c>
      <c r="G18" s="278" t="s">
        <v>549</v>
      </c>
      <c r="H18" s="36"/>
    </row>
    <row r="19" spans="1:8" ht="24" hidden="1" customHeight="1">
      <c r="A19" s="60" t="s">
        <v>308</v>
      </c>
      <c r="B19" s="60" t="s">
        <v>41</v>
      </c>
      <c r="C19" s="60" t="s">
        <v>33</v>
      </c>
      <c r="D19" s="62">
        <v>1</v>
      </c>
      <c r="E19" s="63">
        <v>111</v>
      </c>
      <c r="F19" s="64">
        <v>54304</v>
      </c>
      <c r="G19" s="279" t="s">
        <v>310</v>
      </c>
      <c r="H19" s="36"/>
    </row>
    <row r="20" spans="1:8" ht="24" hidden="1" customHeight="1">
      <c r="A20" s="60" t="s">
        <v>308</v>
      </c>
      <c r="B20" s="60" t="s">
        <v>41</v>
      </c>
      <c r="C20" s="60" t="s">
        <v>33</v>
      </c>
      <c r="D20" s="62">
        <v>1</v>
      </c>
      <c r="E20" s="63">
        <v>111</v>
      </c>
      <c r="F20" s="64">
        <v>54316</v>
      </c>
      <c r="G20" s="278" t="s">
        <v>156</v>
      </c>
      <c r="H20" s="36"/>
    </row>
    <row r="21" spans="1:8" ht="24" hidden="1" customHeight="1">
      <c r="A21" s="60" t="s">
        <v>308</v>
      </c>
      <c r="B21" s="60" t="s">
        <v>41</v>
      </c>
      <c r="C21" s="60" t="s">
        <v>33</v>
      </c>
      <c r="D21" s="62">
        <v>1</v>
      </c>
      <c r="E21" s="63">
        <v>111</v>
      </c>
      <c r="F21" s="64">
        <v>54317</v>
      </c>
      <c r="G21" s="279" t="s">
        <v>157</v>
      </c>
      <c r="H21" s="36"/>
    </row>
    <row r="22" spans="1:8" ht="24" hidden="1" customHeight="1">
      <c r="A22" s="60" t="s">
        <v>308</v>
      </c>
      <c r="B22" s="60" t="s">
        <v>41</v>
      </c>
      <c r="C22" s="60" t="s">
        <v>33</v>
      </c>
      <c r="D22" s="62">
        <v>1</v>
      </c>
      <c r="E22" s="63">
        <v>111</v>
      </c>
      <c r="F22" s="64">
        <v>54599</v>
      </c>
      <c r="G22" s="279" t="s">
        <v>550</v>
      </c>
      <c r="H22" s="343"/>
    </row>
    <row r="23" spans="1:8" ht="24" customHeight="1">
      <c r="A23" s="60" t="s">
        <v>650</v>
      </c>
      <c r="B23" s="60" t="s">
        <v>41</v>
      </c>
      <c r="C23" s="60" t="s">
        <v>33</v>
      </c>
      <c r="D23" s="62">
        <v>1</v>
      </c>
      <c r="E23" s="63">
        <v>109</v>
      </c>
      <c r="F23" s="49" t="s">
        <v>311</v>
      </c>
      <c r="G23" s="280" t="s">
        <v>109</v>
      </c>
      <c r="H23" s="343"/>
    </row>
    <row r="24" spans="1:8" ht="24" hidden="1" customHeight="1">
      <c r="A24" s="60" t="s">
        <v>308</v>
      </c>
      <c r="B24" s="60" t="s">
        <v>41</v>
      </c>
      <c r="C24" s="60" t="s">
        <v>33</v>
      </c>
      <c r="D24" s="62">
        <v>1</v>
      </c>
      <c r="E24" s="63">
        <v>111</v>
      </c>
      <c r="F24" s="85">
        <v>61599</v>
      </c>
      <c r="G24" s="281" t="s">
        <v>119</v>
      </c>
      <c r="H24" s="343"/>
    </row>
    <row r="25" spans="1:8" ht="24" hidden="1" customHeight="1">
      <c r="A25" s="60" t="s">
        <v>308</v>
      </c>
      <c r="B25" s="60" t="s">
        <v>41</v>
      </c>
      <c r="C25" s="60" t="s">
        <v>33</v>
      </c>
      <c r="D25" s="62">
        <v>1</v>
      </c>
      <c r="E25" s="63">
        <v>111</v>
      </c>
      <c r="F25" s="51">
        <v>61201</v>
      </c>
      <c r="G25" s="277" t="s">
        <v>116</v>
      </c>
      <c r="H25" s="343"/>
    </row>
    <row r="26" spans="1:8" ht="24" customHeight="1">
      <c r="A26" s="60" t="s">
        <v>642</v>
      </c>
      <c r="B26" s="60" t="s">
        <v>41</v>
      </c>
      <c r="C26" s="60" t="s">
        <v>33</v>
      </c>
      <c r="D26" s="62">
        <v>1</v>
      </c>
      <c r="E26" s="63">
        <v>109</v>
      </c>
      <c r="F26" s="64">
        <v>61601</v>
      </c>
      <c r="G26" s="278" t="s">
        <v>120</v>
      </c>
      <c r="H26" s="36"/>
    </row>
    <row r="27" spans="1:8" ht="15" hidden="1">
      <c r="A27" s="60" t="s">
        <v>308</v>
      </c>
      <c r="B27" s="60" t="s">
        <v>41</v>
      </c>
      <c r="C27" s="60" t="s">
        <v>33</v>
      </c>
      <c r="D27" s="62">
        <v>1</v>
      </c>
      <c r="E27" s="63">
        <v>111</v>
      </c>
      <c r="F27" s="64">
        <v>61606</v>
      </c>
      <c r="G27" s="278" t="s">
        <v>312</v>
      </c>
      <c r="H27" s="36"/>
    </row>
    <row r="28" spans="1:8" ht="15" hidden="1">
      <c r="A28" s="60" t="s">
        <v>308</v>
      </c>
      <c r="B28" s="60" t="s">
        <v>41</v>
      </c>
      <c r="C28" s="60" t="s">
        <v>33</v>
      </c>
      <c r="D28" s="62">
        <v>1</v>
      </c>
      <c r="E28" s="63">
        <v>111</v>
      </c>
      <c r="F28" s="64">
        <v>61608</v>
      </c>
      <c r="G28" s="278" t="s">
        <v>124</v>
      </c>
      <c r="H28" s="202"/>
    </row>
    <row r="29" spans="1:8" ht="15" hidden="1">
      <c r="A29" s="60" t="s">
        <v>308</v>
      </c>
      <c r="B29" s="60" t="s">
        <v>41</v>
      </c>
      <c r="C29" s="60" t="s">
        <v>33</v>
      </c>
      <c r="D29" s="62">
        <v>1</v>
      </c>
      <c r="E29" s="63">
        <v>111</v>
      </c>
      <c r="F29" s="64">
        <v>61699</v>
      </c>
      <c r="G29" s="278" t="s">
        <v>313</v>
      </c>
      <c r="H29" s="36"/>
    </row>
    <row r="30" spans="1:8" ht="21.75" customHeight="1" thickBot="1">
      <c r="A30" s="1553" t="s">
        <v>652</v>
      </c>
      <c r="B30" s="1554"/>
      <c r="C30" s="1554"/>
      <c r="D30" s="1554"/>
      <c r="E30" s="1554"/>
      <c r="F30" s="1554"/>
      <c r="G30" s="1555"/>
      <c r="H30" s="400">
        <f>SUM(H10:H29)</f>
        <v>0</v>
      </c>
    </row>
    <row r="31" spans="1:8" ht="15.75" thickTop="1">
      <c r="A31" s="75"/>
      <c r="B31" s="75"/>
      <c r="C31" s="75"/>
      <c r="D31" s="5"/>
      <c r="E31" s="86"/>
      <c r="H31" s="68"/>
    </row>
    <row r="32" spans="1:8" ht="15">
      <c r="A32" s="75"/>
      <c r="B32" s="75"/>
      <c r="C32" s="75"/>
      <c r="D32" s="5"/>
      <c r="E32" s="86"/>
      <c r="H32" s="68"/>
    </row>
    <row r="33" spans="1:8" ht="15">
      <c r="A33" s="75"/>
      <c r="B33" s="75"/>
      <c r="C33" s="75"/>
      <c r="D33" s="5"/>
      <c r="E33" s="86"/>
      <c r="H33" s="68"/>
    </row>
    <row r="34" spans="1:8" ht="15">
      <c r="A34" s="75"/>
      <c r="B34" s="75"/>
      <c r="C34" s="75"/>
      <c r="D34" s="5"/>
      <c r="E34" s="86"/>
      <c r="H34" s="68"/>
    </row>
    <row r="35" spans="1:8" ht="15">
      <c r="A35" s="75"/>
      <c r="B35" s="75"/>
      <c r="C35" s="75"/>
      <c r="D35" s="5"/>
      <c r="E35" s="86"/>
      <c r="H35" s="68"/>
    </row>
    <row r="36" spans="1:8" ht="15">
      <c r="A36" s="75"/>
      <c r="B36" s="75"/>
      <c r="C36" s="75"/>
      <c r="D36" s="5"/>
      <c r="E36" s="86"/>
      <c r="H36" s="68"/>
    </row>
    <row r="37" spans="1:8" ht="15">
      <c r="A37" s="75"/>
      <c r="B37" s="75"/>
      <c r="C37" s="75"/>
      <c r="D37" s="5"/>
      <c r="E37" s="86"/>
      <c r="H37" s="68"/>
    </row>
    <row r="38" spans="1:8" ht="15">
      <c r="A38" s="75"/>
      <c r="B38" s="75"/>
      <c r="C38" s="75"/>
      <c r="D38" s="5"/>
      <c r="E38" s="86"/>
      <c r="H38" s="68"/>
    </row>
    <row r="39" spans="1:8" ht="15">
      <c r="A39" s="75"/>
      <c r="B39" s="75"/>
      <c r="C39" s="75"/>
      <c r="D39" s="5"/>
      <c r="E39" s="86"/>
      <c r="H39" s="68"/>
    </row>
    <row r="40" spans="1:8" ht="15">
      <c r="A40" s="75"/>
      <c r="B40" s="75"/>
      <c r="C40" s="75"/>
      <c r="D40" s="5"/>
      <c r="E40" s="86"/>
      <c r="H40" s="68"/>
    </row>
    <row r="41" spans="1:8" ht="15">
      <c r="A41" s="75"/>
      <c r="B41" s="75"/>
      <c r="C41" s="75"/>
      <c r="D41" s="5"/>
      <c r="E41" s="86"/>
      <c r="H41" s="68"/>
    </row>
    <row r="42" spans="1:8" ht="15">
      <c r="A42" s="75"/>
      <c r="B42" s="75"/>
      <c r="C42" s="75"/>
      <c r="D42" s="5"/>
      <c r="E42" s="86"/>
    </row>
    <row r="43" spans="1:8" ht="15">
      <c r="A43" s="75"/>
      <c r="B43" s="75"/>
      <c r="C43" s="75"/>
      <c r="D43" s="5"/>
      <c r="E43" s="86"/>
    </row>
    <row r="44" spans="1:8" ht="15">
      <c r="A44" s="75"/>
      <c r="B44" s="75"/>
      <c r="C44" s="75"/>
      <c r="D44" s="5"/>
      <c r="E44" s="86"/>
      <c r="H44" s="68"/>
    </row>
    <row r="45" spans="1:8" ht="15">
      <c r="A45" s="75"/>
      <c r="B45" s="75"/>
      <c r="C45" s="75"/>
      <c r="D45" s="5"/>
      <c r="E45" s="86"/>
      <c r="H45" s="68"/>
    </row>
    <row r="46" spans="1:8" ht="15">
      <c r="A46" s="75"/>
      <c r="B46" s="75"/>
      <c r="C46" s="75"/>
      <c r="D46" s="5"/>
      <c r="E46" s="86"/>
      <c r="H46" s="68"/>
    </row>
    <row r="47" spans="1:8" ht="15">
      <c r="A47" s="75"/>
      <c r="B47" s="75"/>
      <c r="C47" s="75"/>
      <c r="D47" s="5"/>
      <c r="E47" s="86"/>
      <c r="H47" s="68"/>
    </row>
    <row r="48" spans="1:8" ht="15">
      <c r="A48" s="75"/>
      <c r="B48" s="75"/>
      <c r="C48" s="75"/>
      <c r="D48" s="5"/>
      <c r="E48" s="86"/>
      <c r="H48" s="68"/>
    </row>
    <row r="49" spans="1:8" ht="15">
      <c r="A49" s="75"/>
      <c r="B49" s="75"/>
      <c r="C49" s="75"/>
      <c r="D49" s="5"/>
      <c r="E49" s="86"/>
      <c r="H49" s="68"/>
    </row>
    <row r="50" spans="1:8" ht="15">
      <c r="A50" s="75"/>
      <c r="B50" s="75"/>
      <c r="C50" s="75"/>
      <c r="D50" s="5"/>
      <c r="E50" s="86"/>
      <c r="H50" s="68"/>
    </row>
    <row r="51" spans="1:8" ht="15">
      <c r="A51" s="75"/>
      <c r="B51" s="75"/>
      <c r="C51" s="75"/>
      <c r="D51" s="5"/>
      <c r="E51" s="86"/>
      <c r="H51" s="68"/>
    </row>
    <row r="52" spans="1:8" ht="15">
      <c r="A52" s="75"/>
      <c r="B52" s="75"/>
      <c r="C52" s="75"/>
      <c r="D52" s="5"/>
      <c r="E52" s="86"/>
      <c r="H52" s="68"/>
    </row>
    <row r="53" spans="1:8" ht="15">
      <c r="A53" s="75"/>
      <c r="B53" s="75"/>
      <c r="C53" s="75"/>
      <c r="D53" s="5"/>
      <c r="E53" s="86"/>
      <c r="H53" s="68"/>
    </row>
    <row r="54" spans="1:8" ht="15">
      <c r="A54" s="75"/>
      <c r="B54" s="75"/>
      <c r="C54" s="75"/>
      <c r="D54" s="5"/>
      <c r="E54" s="86"/>
      <c r="H54" s="68"/>
    </row>
    <row r="55" spans="1:8" ht="15">
      <c r="A55" s="75"/>
      <c r="B55" s="75"/>
      <c r="C55" s="75"/>
      <c r="D55" s="5"/>
      <c r="E55" s="86"/>
      <c r="H55" s="68"/>
    </row>
    <row r="56" spans="1:8" ht="15">
      <c r="A56" s="75"/>
      <c r="B56" s="75"/>
      <c r="C56" s="75"/>
      <c r="D56" s="5"/>
      <c r="E56" s="86"/>
      <c r="H56" s="68"/>
    </row>
    <row r="57" spans="1:8" ht="15">
      <c r="A57" s="75"/>
      <c r="B57" s="75"/>
      <c r="C57" s="75"/>
      <c r="D57" s="5"/>
      <c r="E57" s="86"/>
      <c r="H57" s="68"/>
    </row>
    <row r="58" spans="1:8" ht="15">
      <c r="A58" s="75"/>
      <c r="B58" s="75"/>
      <c r="C58" s="75"/>
      <c r="D58" s="5"/>
      <c r="E58" s="86"/>
      <c r="H58" s="68"/>
    </row>
    <row r="59" spans="1:8" ht="15">
      <c r="A59" s="75"/>
      <c r="B59" s="75"/>
      <c r="C59" s="75"/>
      <c r="D59" s="5"/>
      <c r="E59" s="86"/>
      <c r="H59" s="68"/>
    </row>
    <row r="60" spans="1:8" ht="15">
      <c r="A60" s="75"/>
      <c r="B60" s="75"/>
      <c r="C60" s="75"/>
      <c r="D60" s="5"/>
      <c r="E60" s="86"/>
      <c r="H60" s="68"/>
    </row>
    <row r="61" spans="1:8" ht="15">
      <c r="A61" s="75"/>
      <c r="B61" s="75"/>
      <c r="C61" s="75"/>
      <c r="D61" s="5"/>
      <c r="E61" s="86"/>
      <c r="H61" s="68"/>
    </row>
    <row r="62" spans="1:8" ht="15">
      <c r="A62" s="75"/>
      <c r="B62" s="75"/>
      <c r="C62" s="75"/>
      <c r="D62" s="5"/>
      <c r="E62" s="86"/>
      <c r="H62" s="68"/>
    </row>
    <row r="63" spans="1:8" ht="15">
      <c r="A63" s="6"/>
      <c r="B63" s="6"/>
      <c r="C63" s="6"/>
      <c r="D63" s="5"/>
      <c r="E63" s="6"/>
      <c r="G63" s="282"/>
      <c r="H63" s="37"/>
    </row>
    <row r="64" spans="1:8" ht="15">
      <c r="A64" s="75"/>
      <c r="B64" s="75"/>
      <c r="C64" s="74"/>
      <c r="D64" s="5"/>
      <c r="E64" s="75"/>
      <c r="F64" s="52"/>
      <c r="G64" s="277"/>
      <c r="H64" s="68"/>
    </row>
    <row r="65" spans="1:8" ht="15">
      <c r="A65" s="75"/>
      <c r="B65" s="75"/>
      <c r="C65" s="74"/>
      <c r="D65" s="5"/>
      <c r="E65" s="75"/>
      <c r="F65" s="52"/>
      <c r="G65" s="277"/>
      <c r="H65" s="68"/>
    </row>
    <row r="66" spans="1:8" ht="15">
      <c r="A66" s="75"/>
      <c r="B66" s="75"/>
      <c r="C66" s="74"/>
      <c r="D66" s="5"/>
      <c r="E66" s="75"/>
      <c r="G66" s="69"/>
      <c r="H66" s="68"/>
    </row>
    <row r="67" spans="1:8" ht="15">
      <c r="A67" s="75"/>
      <c r="B67" s="75"/>
      <c r="C67" s="74"/>
      <c r="D67" s="5"/>
      <c r="E67" s="75"/>
      <c r="F67" s="52"/>
      <c r="G67" s="277"/>
      <c r="H67" s="68"/>
    </row>
    <row r="68" spans="1:8" ht="15">
      <c r="A68" s="75"/>
      <c r="B68" s="75"/>
      <c r="C68" s="74"/>
      <c r="D68" s="5"/>
      <c r="E68" s="75"/>
      <c r="F68" s="52"/>
      <c r="G68" s="277"/>
      <c r="H68" s="68"/>
    </row>
    <row r="69" spans="1:8" ht="15">
      <c r="A69" s="75"/>
      <c r="B69" s="75"/>
      <c r="C69" s="74"/>
      <c r="D69" s="5"/>
      <c r="E69" s="75"/>
      <c r="F69" s="52"/>
      <c r="G69" s="277"/>
      <c r="H69" s="68"/>
    </row>
    <row r="70" spans="1:8" ht="15">
      <c r="A70" s="75"/>
      <c r="B70" s="75"/>
      <c r="C70" s="74"/>
      <c r="D70" s="5"/>
      <c r="E70" s="75"/>
      <c r="H70" s="68"/>
    </row>
    <row r="71" spans="1:8" ht="15">
      <c r="A71" s="75"/>
      <c r="B71" s="75"/>
      <c r="C71" s="74"/>
      <c r="D71" s="5"/>
      <c r="E71" s="75"/>
      <c r="H71" s="68"/>
    </row>
    <row r="72" spans="1:8" ht="15">
      <c r="A72" s="75"/>
      <c r="B72" s="75"/>
      <c r="C72" s="74"/>
      <c r="D72" s="5"/>
      <c r="E72" s="75"/>
      <c r="H72" s="68"/>
    </row>
    <row r="73" spans="1:8" ht="15">
      <c r="A73" s="75"/>
      <c r="B73" s="75"/>
      <c r="C73" s="74"/>
      <c r="D73" s="5"/>
      <c r="E73" s="75"/>
      <c r="H73" s="68"/>
    </row>
    <row r="74" spans="1:8" ht="15">
      <c r="A74" s="6"/>
      <c r="B74" s="6"/>
      <c r="C74" s="6"/>
      <c r="D74" s="5"/>
      <c r="E74" s="6"/>
      <c r="G74" s="282"/>
      <c r="H74" s="37"/>
    </row>
    <row r="75" spans="1:8" ht="15">
      <c r="A75" s="75"/>
      <c r="B75" s="74"/>
      <c r="C75" s="74"/>
      <c r="D75" s="5"/>
      <c r="E75" s="75"/>
      <c r="F75" s="52"/>
      <c r="G75" s="277"/>
      <c r="H75" s="68"/>
    </row>
    <row r="76" spans="1:8" ht="15">
      <c r="A76" s="75"/>
      <c r="B76" s="74"/>
      <c r="C76" s="74"/>
      <c r="D76" s="5"/>
      <c r="E76" s="75"/>
      <c r="F76" s="52"/>
      <c r="G76" s="277"/>
      <c r="H76" s="68"/>
    </row>
    <row r="77" spans="1:8" ht="15">
      <c r="A77" s="75"/>
      <c r="B77" s="74"/>
      <c r="C77" s="74"/>
      <c r="D77" s="5"/>
      <c r="E77" s="75"/>
      <c r="F77" s="52"/>
      <c r="G77" s="277"/>
      <c r="H77" s="68"/>
    </row>
    <row r="78" spans="1:8" ht="15">
      <c r="A78" s="75"/>
      <c r="B78" s="74"/>
      <c r="C78" s="74"/>
      <c r="D78" s="5"/>
      <c r="E78" s="75"/>
      <c r="F78" s="52"/>
      <c r="G78" s="277"/>
      <c r="H78" s="68"/>
    </row>
    <row r="79" spans="1:8" ht="15">
      <c r="A79" s="75"/>
      <c r="B79" s="74"/>
      <c r="C79" s="74"/>
      <c r="D79" s="5"/>
      <c r="E79" s="75"/>
      <c r="H79" s="68"/>
    </row>
    <row r="80" spans="1:8" ht="15">
      <c r="A80" s="75"/>
      <c r="B80" s="74"/>
      <c r="C80" s="74"/>
      <c r="D80" s="5"/>
      <c r="E80" s="75"/>
      <c r="H80" s="68"/>
    </row>
    <row r="81" spans="1:8" ht="15">
      <c r="A81" s="6"/>
      <c r="B81" s="6"/>
      <c r="C81" s="6"/>
      <c r="D81" s="5"/>
      <c r="E81" s="6"/>
      <c r="G81" s="282"/>
      <c r="H81" s="37"/>
    </row>
    <row r="82" spans="1:8" ht="15">
      <c r="A82" s="75"/>
      <c r="B82" s="74"/>
      <c r="C82" s="74"/>
      <c r="D82" s="5"/>
      <c r="E82" s="75"/>
      <c r="F82" s="52"/>
      <c r="G82" s="277"/>
      <c r="H82" s="68"/>
    </row>
    <row r="83" spans="1:8" ht="15">
      <c r="A83" s="75"/>
      <c r="B83" s="74"/>
      <c r="C83" s="74"/>
      <c r="D83" s="5"/>
      <c r="E83" s="75"/>
      <c r="F83" s="52"/>
      <c r="G83" s="277"/>
      <c r="H83" s="68"/>
    </row>
    <row r="84" spans="1:8" ht="15">
      <c r="A84" s="75"/>
      <c r="B84" s="74"/>
      <c r="C84" s="74"/>
      <c r="D84" s="5"/>
      <c r="E84" s="75"/>
      <c r="H84" s="68"/>
    </row>
    <row r="85" spans="1:8" ht="15">
      <c r="A85" s="75"/>
      <c r="B85" s="74"/>
      <c r="C85" s="74"/>
      <c r="D85" s="5"/>
      <c r="E85" s="75"/>
      <c r="F85" s="52"/>
      <c r="G85" s="277"/>
      <c r="H85" s="68"/>
    </row>
    <row r="86" spans="1:8" ht="15">
      <c r="A86" s="75"/>
      <c r="B86" s="74"/>
      <c r="C86" s="74"/>
      <c r="D86" s="5"/>
      <c r="E86" s="75"/>
      <c r="F86" s="52"/>
      <c r="G86" s="277"/>
      <c r="H86" s="68"/>
    </row>
    <row r="87" spans="1:8" ht="15">
      <c r="A87" s="75"/>
      <c r="B87" s="74"/>
      <c r="C87" s="74"/>
      <c r="D87" s="5"/>
      <c r="E87" s="75"/>
      <c r="H87" s="68"/>
    </row>
    <row r="88" spans="1:8" ht="15">
      <c r="A88" s="75"/>
      <c r="B88" s="74"/>
      <c r="C88" s="74"/>
      <c r="D88" s="5"/>
      <c r="E88" s="75"/>
      <c r="H88" s="68"/>
    </row>
    <row r="89" spans="1:8" ht="15">
      <c r="A89" s="75"/>
      <c r="B89" s="74"/>
      <c r="C89" s="74"/>
      <c r="D89" s="5"/>
      <c r="E89" s="75"/>
      <c r="H89" s="68"/>
    </row>
    <row r="90" spans="1:8" ht="15">
      <c r="A90" s="75"/>
      <c r="B90" s="74"/>
      <c r="C90" s="74"/>
      <c r="D90" s="5"/>
      <c r="E90" s="75"/>
      <c r="H90" s="68"/>
    </row>
    <row r="91" spans="1:8" ht="15">
      <c r="A91" s="75"/>
      <c r="B91" s="74"/>
      <c r="C91" s="74"/>
      <c r="D91" s="5"/>
      <c r="E91" s="75"/>
      <c r="H91" s="68"/>
    </row>
    <row r="92" spans="1:8" ht="15">
      <c r="A92" s="75"/>
      <c r="B92" s="74"/>
      <c r="C92" s="74"/>
      <c r="D92" s="5"/>
      <c r="E92" s="75"/>
      <c r="H92" s="68"/>
    </row>
    <row r="93" spans="1:8" ht="15">
      <c r="A93" s="75"/>
      <c r="B93" s="74"/>
      <c r="C93" s="74"/>
      <c r="D93" s="5"/>
      <c r="E93" s="75"/>
      <c r="H93" s="68"/>
    </row>
    <row r="94" spans="1:8" ht="15">
      <c r="A94" s="75"/>
      <c r="B94" s="74"/>
      <c r="C94" s="74"/>
      <c r="D94" s="5"/>
      <c r="E94" s="75"/>
      <c r="H94" s="68"/>
    </row>
    <row r="95" spans="1:8" ht="15">
      <c r="A95" s="75"/>
      <c r="B95" s="74"/>
      <c r="C95" s="74"/>
      <c r="D95" s="5"/>
      <c r="E95" s="75"/>
      <c r="H95" s="68"/>
    </row>
    <row r="96" spans="1:8" ht="15">
      <c r="A96" s="75"/>
      <c r="B96" s="74"/>
      <c r="C96" s="74"/>
      <c r="D96" s="5"/>
      <c r="E96" s="75"/>
      <c r="H96" s="68"/>
    </row>
    <row r="97" spans="1:8" ht="15">
      <c r="A97" s="75"/>
      <c r="B97" s="74"/>
      <c r="C97" s="74"/>
      <c r="D97" s="5"/>
      <c r="E97" s="75"/>
      <c r="G97" s="69"/>
      <c r="H97" s="68"/>
    </row>
    <row r="98" spans="1:8" ht="15">
      <c r="A98" s="6"/>
      <c r="B98" s="6"/>
      <c r="C98" s="6"/>
      <c r="D98" s="33"/>
      <c r="E98" s="6"/>
      <c r="G98" s="282"/>
      <c r="H98" s="37"/>
    </row>
    <row r="99" spans="1:8" ht="15">
      <c r="A99" s="6"/>
      <c r="B99" s="6"/>
      <c r="C99" s="6"/>
      <c r="D99" s="33"/>
      <c r="E99" s="6"/>
      <c r="G99" s="283"/>
      <c r="H99" s="37"/>
    </row>
  </sheetData>
  <mergeCells count="10">
    <mergeCell ref="A8:F8"/>
    <mergeCell ref="G8:G9"/>
    <mergeCell ref="H8:H9"/>
    <mergeCell ref="A30:G30"/>
    <mergeCell ref="A1:H1"/>
    <mergeCell ref="A2:H2"/>
    <mergeCell ref="A3:H3"/>
    <mergeCell ref="A4:H4"/>
    <mergeCell ref="A5:H6"/>
    <mergeCell ref="A7:H7"/>
  </mergeCells>
  <pageMargins left="0.86" right="0.12" top="1.1200000000000001" bottom="0.75" header="0.3" footer="0.3"/>
  <pageSetup paperSize="9" orientation="portrait" horizontalDpi="0" verticalDpi="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2:I97"/>
  <sheetViews>
    <sheetView topLeftCell="A46" zoomScale="130" zoomScaleNormal="130" workbookViewId="0">
      <selection activeCell="L11" sqref="L11"/>
    </sheetView>
  </sheetViews>
  <sheetFormatPr baseColWidth="10" defaultRowHeight="12.75"/>
  <cols>
    <col min="1" max="1" width="3.85546875" customWidth="1"/>
    <col min="2" max="2" width="4.7109375" customWidth="1"/>
    <col min="3" max="3" width="5" customWidth="1"/>
    <col min="4" max="4" width="4.42578125" customWidth="1"/>
    <col min="5" max="5" width="6.140625" customWidth="1"/>
    <col min="6" max="6" width="8" style="1281" customWidth="1"/>
    <col min="7" max="7" width="42.85546875" style="8" customWidth="1"/>
    <col min="8" max="8" width="16.7109375" customWidth="1"/>
    <col min="9" max="9" width="11.85546875" style="201" bestFit="1" customWidth="1"/>
  </cols>
  <sheetData>
    <row r="2" spans="1:9" ht="18">
      <c r="A2" s="1517" t="s">
        <v>79</v>
      </c>
      <c r="B2" s="1517"/>
      <c r="C2" s="1517"/>
      <c r="D2" s="1517"/>
      <c r="E2" s="1517"/>
      <c r="F2" s="1517"/>
      <c r="G2" s="1517"/>
      <c r="H2" s="1517"/>
    </row>
    <row r="3" spans="1:9" ht="18">
      <c r="A3" s="1517" t="s">
        <v>78</v>
      </c>
      <c r="B3" s="1517"/>
      <c r="C3" s="1517"/>
      <c r="D3" s="1517"/>
      <c r="E3" s="1517"/>
      <c r="F3" s="1517"/>
      <c r="G3" s="1517"/>
      <c r="H3" s="1517"/>
    </row>
    <row r="4" spans="1:9" ht="18">
      <c r="A4" s="1518" t="s">
        <v>1039</v>
      </c>
      <c r="B4" s="1518"/>
      <c r="C4" s="1518"/>
      <c r="D4" s="1518"/>
      <c r="E4" s="1518"/>
      <c r="F4" s="1518"/>
      <c r="G4" s="1518"/>
      <c r="H4" s="1518"/>
    </row>
    <row r="5" spans="1:9" ht="18.75">
      <c r="A5" s="1519" t="s">
        <v>11</v>
      </c>
      <c r="B5" s="1519"/>
      <c r="C5" s="1519"/>
      <c r="D5" s="1519"/>
      <c r="E5" s="1519"/>
      <c r="F5" s="1519"/>
      <c r="G5" s="1519"/>
      <c r="H5" s="1519"/>
    </row>
    <row r="6" spans="1:9" ht="18.75">
      <c r="A6" s="1207"/>
      <c r="B6" s="1207"/>
      <c r="C6" s="1207"/>
      <c r="D6" s="1207"/>
      <c r="E6" s="1207"/>
      <c r="F6" s="1280"/>
      <c r="G6" s="1207"/>
      <c r="H6" s="1207"/>
    </row>
    <row r="7" spans="1:9" ht="12.75" customHeight="1">
      <c r="A7" s="1525" t="s">
        <v>23</v>
      </c>
      <c r="B7" s="1525"/>
      <c r="C7" s="1525"/>
      <c r="D7" s="1525"/>
      <c r="E7" s="1525"/>
      <c r="F7" s="1525"/>
      <c r="G7" s="1525"/>
      <c r="H7" s="1525"/>
    </row>
    <row r="8" spans="1:9" ht="12.75" customHeight="1">
      <c r="A8" s="1525"/>
      <c r="B8" s="1525"/>
      <c r="C8" s="1525"/>
      <c r="D8" s="1525"/>
      <c r="E8" s="1525"/>
      <c r="F8" s="1525"/>
      <c r="G8" s="1525"/>
      <c r="H8" s="1525"/>
    </row>
    <row r="9" spans="1:9" s="538" customFormat="1" ht="21.75" customHeight="1">
      <c r="A9" s="1570" t="s">
        <v>965</v>
      </c>
      <c r="B9" s="1571"/>
      <c r="C9" s="1571"/>
      <c r="D9" s="1571"/>
      <c r="E9" s="1571"/>
      <c r="F9" s="1571"/>
      <c r="G9" s="1571"/>
      <c r="H9" s="1571"/>
      <c r="I9" s="886"/>
    </row>
    <row r="10" spans="1:9" ht="15" customHeight="1">
      <c r="A10" s="1528" t="s">
        <v>8</v>
      </c>
      <c r="B10" s="1528"/>
      <c r="C10" s="1528"/>
      <c r="D10" s="1528"/>
      <c r="E10" s="1528"/>
      <c r="F10" s="1528"/>
      <c r="G10" s="1529" t="s">
        <v>20</v>
      </c>
      <c r="H10" s="1530" t="s">
        <v>27</v>
      </c>
    </row>
    <row r="11" spans="1:9" ht="105.75">
      <c r="A11" s="521" t="s">
        <v>16</v>
      </c>
      <c r="B11" s="522" t="s">
        <v>179</v>
      </c>
      <c r="C11" s="521" t="s">
        <v>17</v>
      </c>
      <c r="D11" s="521" t="s">
        <v>21</v>
      </c>
      <c r="E11" s="523" t="s">
        <v>314</v>
      </c>
      <c r="F11" s="1302" t="s">
        <v>19</v>
      </c>
      <c r="G11" s="1529"/>
      <c r="H11" s="1530"/>
    </row>
    <row r="12" spans="1:9">
      <c r="A12" s="1299" t="s">
        <v>951</v>
      </c>
      <c r="B12" s="1299" t="s">
        <v>1086</v>
      </c>
      <c r="C12" s="1299" t="s">
        <v>33</v>
      </c>
      <c r="D12" s="1299" t="s">
        <v>953</v>
      </c>
      <c r="E12" s="1299" t="s">
        <v>953</v>
      </c>
      <c r="F12" s="1303">
        <v>51105</v>
      </c>
      <c r="G12" s="474" t="s">
        <v>84</v>
      </c>
      <c r="H12" s="344">
        <v>624</v>
      </c>
    </row>
    <row r="13" spans="1:9">
      <c r="A13" s="1299" t="s">
        <v>951</v>
      </c>
      <c r="B13" s="1299" t="s">
        <v>952</v>
      </c>
      <c r="C13" s="1299" t="s">
        <v>33</v>
      </c>
      <c r="D13" s="1299" t="s">
        <v>953</v>
      </c>
      <c r="E13" s="1299" t="s">
        <v>953</v>
      </c>
      <c r="F13" s="1304" t="s">
        <v>425</v>
      </c>
      <c r="G13" s="273" t="s">
        <v>426</v>
      </c>
      <c r="H13" s="344">
        <f>1009.05+5000</f>
        <v>6009.05</v>
      </c>
    </row>
    <row r="14" spans="1:9">
      <c r="A14" s="1299" t="s">
        <v>951</v>
      </c>
      <c r="B14" s="1299" t="s">
        <v>1086</v>
      </c>
      <c r="C14" s="1299" t="s">
        <v>33</v>
      </c>
      <c r="D14" s="1299" t="s">
        <v>953</v>
      </c>
      <c r="E14" s="1299" t="s">
        <v>953</v>
      </c>
      <c r="F14" s="222" t="s">
        <v>455</v>
      </c>
      <c r="G14" s="273" t="s">
        <v>456</v>
      </c>
      <c r="H14" s="344">
        <v>150</v>
      </c>
    </row>
    <row r="15" spans="1:9">
      <c r="A15" s="1299" t="s">
        <v>1085</v>
      </c>
      <c r="B15" s="1299" t="s">
        <v>40</v>
      </c>
      <c r="C15" s="1299" t="s">
        <v>33</v>
      </c>
      <c r="D15" s="1299" t="s">
        <v>953</v>
      </c>
      <c r="E15" s="1299" t="s">
        <v>953</v>
      </c>
      <c r="F15" s="64">
        <v>54110</v>
      </c>
      <c r="G15" s="225" t="s">
        <v>766</v>
      </c>
      <c r="H15" s="344">
        <v>10000</v>
      </c>
    </row>
    <row r="16" spans="1:9">
      <c r="A16" s="1299" t="s">
        <v>1085</v>
      </c>
      <c r="B16" s="1299" t="s">
        <v>41</v>
      </c>
      <c r="C16" s="1299" t="s">
        <v>33</v>
      </c>
      <c r="D16" s="1299" t="s">
        <v>953</v>
      </c>
      <c r="E16" s="1299" t="s">
        <v>953</v>
      </c>
      <c r="F16" s="64">
        <v>54119</v>
      </c>
      <c r="G16" s="225" t="s">
        <v>141</v>
      </c>
      <c r="H16" s="344">
        <v>7000</v>
      </c>
    </row>
    <row r="17" spans="1:9">
      <c r="A17" s="1299" t="s">
        <v>951</v>
      </c>
      <c r="B17" s="1299" t="s">
        <v>41</v>
      </c>
      <c r="C17" s="1299" t="s">
        <v>33</v>
      </c>
      <c r="D17" s="1299" t="s">
        <v>953</v>
      </c>
      <c r="E17" s="1299" t="s">
        <v>953</v>
      </c>
      <c r="F17" s="64">
        <v>54199</v>
      </c>
      <c r="G17" s="225" t="s">
        <v>546</v>
      </c>
      <c r="H17" s="344">
        <v>400</v>
      </c>
    </row>
    <row r="18" spans="1:9">
      <c r="A18" s="1299" t="s">
        <v>1085</v>
      </c>
      <c r="B18" s="1299" t="s">
        <v>33</v>
      </c>
      <c r="C18" s="1299" t="s">
        <v>33</v>
      </c>
      <c r="D18" s="1299" t="s">
        <v>953</v>
      </c>
      <c r="E18" s="1299" t="s">
        <v>953</v>
      </c>
      <c r="F18" s="64">
        <v>54201</v>
      </c>
      <c r="G18" s="225" t="s">
        <v>917</v>
      </c>
      <c r="H18" s="344">
        <v>90200</v>
      </c>
    </row>
    <row r="19" spans="1:9">
      <c r="A19" s="1299" t="s">
        <v>1085</v>
      </c>
      <c r="B19" s="1299" t="s">
        <v>35</v>
      </c>
      <c r="C19" s="1299" t="s">
        <v>33</v>
      </c>
      <c r="D19" s="1299" t="s">
        <v>953</v>
      </c>
      <c r="E19" s="1299" t="s">
        <v>953</v>
      </c>
      <c r="F19" s="64">
        <v>54202</v>
      </c>
      <c r="G19" s="225" t="s">
        <v>145</v>
      </c>
      <c r="H19" s="344">
        <v>8000</v>
      </c>
    </row>
    <row r="20" spans="1:9">
      <c r="A20" s="1299" t="s">
        <v>1085</v>
      </c>
      <c r="B20" s="1299" t="s">
        <v>1086</v>
      </c>
      <c r="C20" s="1299" t="s">
        <v>33</v>
      </c>
      <c r="D20" s="1299" t="s">
        <v>953</v>
      </c>
      <c r="E20" s="1299" t="s">
        <v>953</v>
      </c>
      <c r="F20" s="64">
        <v>54203</v>
      </c>
      <c r="G20" s="225" t="s">
        <v>146</v>
      </c>
      <c r="H20" s="344">
        <v>19500</v>
      </c>
    </row>
    <row r="21" spans="1:9">
      <c r="A21" s="1299" t="s">
        <v>1085</v>
      </c>
      <c r="B21" s="1299" t="s">
        <v>40</v>
      </c>
      <c r="C21" s="1299" t="s">
        <v>33</v>
      </c>
      <c r="D21" s="1299" t="s">
        <v>953</v>
      </c>
      <c r="E21" s="1299" t="s">
        <v>953</v>
      </c>
      <c r="F21" s="64">
        <v>54302</v>
      </c>
      <c r="G21" s="225" t="s">
        <v>428</v>
      </c>
      <c r="H21" s="344">
        <v>6000</v>
      </c>
    </row>
    <row r="22" spans="1:9">
      <c r="A22" s="1299" t="s">
        <v>1085</v>
      </c>
      <c r="B22" s="1299" t="s">
        <v>41</v>
      </c>
      <c r="C22" s="1299" t="s">
        <v>33</v>
      </c>
      <c r="D22" s="1299" t="s">
        <v>953</v>
      </c>
      <c r="E22" s="1299" t="s">
        <v>953</v>
      </c>
      <c r="F22" s="64">
        <v>54303</v>
      </c>
      <c r="G22" s="225" t="s">
        <v>151</v>
      </c>
      <c r="H22" s="344">
        <v>1000</v>
      </c>
    </row>
    <row r="23" spans="1:9">
      <c r="A23" s="1299" t="s">
        <v>1085</v>
      </c>
      <c r="B23" s="1299" t="s">
        <v>41</v>
      </c>
      <c r="C23" s="1299" t="s">
        <v>33</v>
      </c>
      <c r="D23" s="1299" t="s">
        <v>953</v>
      </c>
      <c r="E23" s="1299" t="s">
        <v>953</v>
      </c>
      <c r="F23" s="64">
        <v>54304</v>
      </c>
      <c r="G23" s="225" t="s">
        <v>916</v>
      </c>
      <c r="H23" s="344">
        <v>800</v>
      </c>
    </row>
    <row r="24" spans="1:9">
      <c r="A24" s="1299" t="s">
        <v>1085</v>
      </c>
      <c r="B24" s="1299" t="s">
        <v>40</v>
      </c>
      <c r="C24" s="1299" t="s">
        <v>33</v>
      </c>
      <c r="D24" s="1299" t="s">
        <v>953</v>
      </c>
      <c r="E24" s="1299" t="s">
        <v>953</v>
      </c>
      <c r="F24" s="1305">
        <v>54399</v>
      </c>
      <c r="G24" s="273" t="s">
        <v>158</v>
      </c>
      <c r="H24" s="344">
        <v>36000</v>
      </c>
    </row>
    <row r="25" spans="1:9">
      <c r="A25" s="1299" t="s">
        <v>1085</v>
      </c>
      <c r="B25" s="1299" t="s">
        <v>33</v>
      </c>
      <c r="C25" s="1299" t="s">
        <v>33</v>
      </c>
      <c r="D25" s="1299" t="s">
        <v>953</v>
      </c>
      <c r="E25" s="1299" t="s">
        <v>953</v>
      </c>
      <c r="F25" s="64">
        <v>55603</v>
      </c>
      <c r="G25" s="273" t="s">
        <v>1021</v>
      </c>
      <c r="H25" s="344">
        <f>327.24+19.95</f>
        <v>347.19</v>
      </c>
    </row>
    <row r="26" spans="1:9">
      <c r="A26" s="1299" t="s">
        <v>951</v>
      </c>
      <c r="B26" s="1299" t="s">
        <v>952</v>
      </c>
      <c r="C26" s="1299" t="s">
        <v>33</v>
      </c>
      <c r="D26" s="1299" t="s">
        <v>953</v>
      </c>
      <c r="E26" s="1299" t="s">
        <v>953</v>
      </c>
      <c r="F26" s="64">
        <v>56304</v>
      </c>
      <c r="G26" s="273" t="s">
        <v>109</v>
      </c>
      <c r="H26" s="344">
        <f>9980.05+1004.16</f>
        <v>10984.21</v>
      </c>
      <c r="I26" s="201">
        <v>16004.16</v>
      </c>
    </row>
    <row r="27" spans="1:9">
      <c r="A27" s="1299" t="s">
        <v>951</v>
      </c>
      <c r="B27" s="1299" t="s">
        <v>33</v>
      </c>
      <c r="C27" s="1299" t="s">
        <v>33</v>
      </c>
      <c r="D27" s="1299" t="s">
        <v>953</v>
      </c>
      <c r="E27" s="1299" t="s">
        <v>953</v>
      </c>
      <c r="F27" s="64">
        <v>56305</v>
      </c>
      <c r="G27" s="273" t="s">
        <v>110</v>
      </c>
      <c r="H27" s="344">
        <v>49929.66</v>
      </c>
    </row>
    <row r="28" spans="1:9" ht="15.75" thickBot="1">
      <c r="A28" s="1567" t="s">
        <v>1038</v>
      </c>
      <c r="B28" s="1568"/>
      <c r="C28" s="1568"/>
      <c r="D28" s="1568"/>
      <c r="E28" s="1568"/>
      <c r="F28" s="1568"/>
      <c r="G28" s="1569"/>
      <c r="H28" s="984">
        <f>SUM(H12:H27)</f>
        <v>246944.11</v>
      </c>
    </row>
    <row r="29" spans="1:9" ht="15.75" thickTop="1">
      <c r="A29" s="75"/>
      <c r="B29" s="75"/>
      <c r="C29" s="75"/>
      <c r="D29" s="5"/>
      <c r="E29" s="86"/>
      <c r="H29" s="68"/>
    </row>
    <row r="30" spans="1:9" ht="15">
      <c r="A30" s="75"/>
      <c r="B30" s="75"/>
      <c r="C30" s="75"/>
      <c r="D30" s="5"/>
      <c r="E30" s="86"/>
      <c r="H30" s="68"/>
    </row>
    <row r="31" spans="1:9" ht="15">
      <c r="A31" s="75"/>
      <c r="B31" s="75"/>
      <c r="C31" s="75"/>
      <c r="D31" s="5"/>
      <c r="E31" s="86"/>
      <c r="H31" s="68"/>
    </row>
    <row r="32" spans="1:9" ht="15">
      <c r="A32" s="75"/>
      <c r="B32" s="75"/>
      <c r="C32" s="75"/>
      <c r="D32" s="5"/>
      <c r="E32" s="86"/>
      <c r="H32" s="68"/>
    </row>
    <row r="33" spans="1:8" ht="15">
      <c r="A33" s="75"/>
      <c r="B33" s="75"/>
      <c r="C33" s="75"/>
      <c r="D33" s="5"/>
      <c r="E33" s="86"/>
      <c r="H33" s="68"/>
    </row>
    <row r="34" spans="1:8" ht="15">
      <c r="A34" s="75"/>
      <c r="B34" s="75"/>
      <c r="C34" s="75"/>
      <c r="D34" s="5"/>
      <c r="E34" s="86"/>
      <c r="H34" s="68"/>
    </row>
    <row r="35" spans="1:8" ht="15">
      <c r="A35" s="75"/>
      <c r="B35" s="75"/>
      <c r="C35" s="75"/>
      <c r="D35" s="5"/>
      <c r="E35" s="86"/>
      <c r="H35" s="68"/>
    </row>
    <row r="36" spans="1:8" ht="15">
      <c r="A36" s="75"/>
      <c r="B36" s="75"/>
      <c r="C36" s="75"/>
      <c r="D36" s="5"/>
      <c r="E36" s="86"/>
      <c r="H36" s="68"/>
    </row>
    <row r="37" spans="1:8" ht="15">
      <c r="A37" s="75"/>
      <c r="B37" s="75"/>
      <c r="C37" s="75"/>
      <c r="D37" s="5"/>
      <c r="E37" s="86"/>
      <c r="H37" s="68"/>
    </row>
    <row r="38" spans="1:8" ht="15">
      <c r="A38" s="75"/>
      <c r="B38" s="75"/>
      <c r="C38" s="75"/>
      <c r="D38" s="5"/>
      <c r="E38" s="86"/>
      <c r="H38" s="68"/>
    </row>
    <row r="39" spans="1:8" ht="15">
      <c r="A39" s="75"/>
      <c r="B39" s="75"/>
      <c r="C39" s="75"/>
      <c r="D39" s="5"/>
      <c r="E39" s="86"/>
      <c r="H39" s="68"/>
    </row>
    <row r="40" spans="1:8" ht="15">
      <c r="A40" s="75"/>
      <c r="B40" s="75"/>
      <c r="C40" s="75"/>
      <c r="D40" s="5"/>
      <c r="E40" s="86"/>
    </row>
    <row r="41" spans="1:8" ht="15">
      <c r="A41" s="75"/>
      <c r="B41" s="75"/>
      <c r="C41" s="75"/>
      <c r="D41" s="5"/>
      <c r="E41" s="86"/>
    </row>
    <row r="42" spans="1:8" ht="15">
      <c r="A42" s="75"/>
      <c r="B42" s="75"/>
      <c r="C42" s="75"/>
      <c r="D42" s="5"/>
      <c r="E42" s="86"/>
      <c r="H42" s="68"/>
    </row>
    <row r="43" spans="1:8" ht="15">
      <c r="A43" s="75"/>
      <c r="B43" s="75"/>
      <c r="C43" s="75"/>
      <c r="D43" s="5"/>
      <c r="E43" s="86"/>
      <c r="H43" s="68"/>
    </row>
    <row r="44" spans="1:8" ht="15">
      <c r="A44" s="75"/>
      <c r="B44" s="75"/>
      <c r="C44" s="75"/>
      <c r="D44" s="5"/>
      <c r="E44" s="86"/>
      <c r="H44" s="68"/>
    </row>
    <row r="45" spans="1:8" ht="15">
      <c r="A45" s="75"/>
      <c r="B45" s="75"/>
      <c r="C45" s="75"/>
      <c r="D45" s="5"/>
      <c r="E45" s="86"/>
      <c r="H45" s="68"/>
    </row>
    <row r="46" spans="1:8" ht="15">
      <c r="A46" s="75"/>
      <c r="B46" s="75"/>
      <c r="C46" s="75"/>
      <c r="D46" s="5"/>
      <c r="E46" s="86"/>
      <c r="H46" s="68"/>
    </row>
    <row r="47" spans="1:8" ht="15">
      <c r="A47" s="75"/>
      <c r="B47" s="75"/>
      <c r="C47" s="75"/>
      <c r="D47" s="5"/>
      <c r="E47" s="86"/>
      <c r="H47" s="68"/>
    </row>
    <row r="48" spans="1:8" ht="15">
      <c r="A48" s="75"/>
      <c r="B48" s="75"/>
      <c r="C48" s="75"/>
      <c r="D48" s="5"/>
      <c r="E48" s="86"/>
      <c r="H48" s="68"/>
    </row>
    <row r="49" spans="1:8" ht="15">
      <c r="A49" s="75"/>
      <c r="B49" s="75"/>
      <c r="C49" s="75"/>
      <c r="D49" s="5"/>
      <c r="E49" s="86"/>
      <c r="H49" s="68"/>
    </row>
    <row r="50" spans="1:8" ht="15">
      <c r="A50" s="75"/>
      <c r="B50" s="75"/>
      <c r="C50" s="75"/>
      <c r="D50" s="5"/>
      <c r="E50" s="86"/>
      <c r="H50" s="68"/>
    </row>
    <row r="51" spans="1:8" ht="15">
      <c r="A51" s="75"/>
      <c r="B51" s="75"/>
      <c r="C51" s="75"/>
      <c r="D51" s="5"/>
      <c r="E51" s="86"/>
      <c r="H51" s="68"/>
    </row>
    <row r="52" spans="1:8" ht="15">
      <c r="A52" s="75"/>
      <c r="B52" s="75"/>
      <c r="C52" s="75"/>
      <c r="D52" s="5"/>
      <c r="E52" s="86"/>
      <c r="H52" s="68"/>
    </row>
    <row r="53" spans="1:8" ht="15">
      <c r="A53" s="75"/>
      <c r="B53" s="75"/>
      <c r="C53" s="75"/>
      <c r="D53" s="5"/>
      <c r="E53" s="86"/>
      <c r="H53" s="68"/>
    </row>
    <row r="54" spans="1:8" ht="15">
      <c r="A54" s="75"/>
      <c r="B54" s="75"/>
      <c r="C54" s="75"/>
      <c r="D54" s="5"/>
      <c r="E54" s="86"/>
      <c r="H54" s="68"/>
    </row>
    <row r="55" spans="1:8" ht="15">
      <c r="A55" s="75"/>
      <c r="B55" s="75"/>
      <c r="C55" s="75"/>
      <c r="D55" s="5"/>
      <c r="E55" s="86"/>
      <c r="H55" s="68"/>
    </row>
    <row r="56" spans="1:8" ht="15">
      <c r="A56" s="75"/>
      <c r="B56" s="75"/>
      <c r="C56" s="75"/>
      <c r="D56" s="5"/>
      <c r="E56" s="86"/>
      <c r="H56" s="68"/>
    </row>
    <row r="57" spans="1:8" ht="15">
      <c r="A57" s="75"/>
      <c r="B57" s="75"/>
      <c r="C57" s="75"/>
      <c r="D57" s="5"/>
      <c r="E57" s="86"/>
      <c r="H57" s="68"/>
    </row>
    <row r="58" spans="1:8" ht="15">
      <c r="A58" s="75"/>
      <c r="B58" s="75"/>
      <c r="C58" s="75"/>
      <c r="D58" s="5"/>
      <c r="E58" s="86"/>
      <c r="H58" s="68"/>
    </row>
    <row r="59" spans="1:8" ht="15">
      <c r="A59" s="75"/>
      <c r="B59" s="75"/>
      <c r="C59" s="75"/>
      <c r="D59" s="5"/>
      <c r="E59" s="86"/>
      <c r="H59" s="68"/>
    </row>
    <row r="60" spans="1:8" ht="15">
      <c r="A60" s="75"/>
      <c r="B60" s="75"/>
      <c r="C60" s="75"/>
      <c r="D60" s="5"/>
      <c r="E60" s="86"/>
      <c r="H60" s="68"/>
    </row>
    <row r="61" spans="1:8" ht="15">
      <c r="A61" s="6"/>
      <c r="B61" s="6"/>
      <c r="C61" s="6"/>
      <c r="D61" s="5"/>
      <c r="E61" s="6"/>
      <c r="G61" s="282"/>
      <c r="H61" s="37"/>
    </row>
    <row r="62" spans="1:8" ht="15">
      <c r="A62" s="75"/>
      <c r="B62" s="75"/>
      <c r="C62" s="74"/>
      <c r="D62" s="5"/>
      <c r="E62" s="75"/>
      <c r="F62" s="978"/>
      <c r="G62" s="277"/>
      <c r="H62" s="68"/>
    </row>
    <row r="63" spans="1:8" ht="15">
      <c r="A63" s="75"/>
      <c r="B63" s="75"/>
      <c r="C63" s="74"/>
      <c r="D63" s="5"/>
      <c r="E63" s="75"/>
      <c r="F63" s="978"/>
      <c r="G63" s="277"/>
      <c r="H63" s="68"/>
    </row>
    <row r="64" spans="1:8" ht="15">
      <c r="A64" s="75"/>
      <c r="B64" s="75"/>
      <c r="C64" s="74"/>
      <c r="D64" s="5"/>
      <c r="E64" s="75"/>
      <c r="G64" s="69"/>
      <c r="H64" s="68"/>
    </row>
    <row r="65" spans="1:8" ht="15">
      <c r="A65" s="75"/>
      <c r="B65" s="75"/>
      <c r="C65" s="74"/>
      <c r="D65" s="5"/>
      <c r="E65" s="75"/>
      <c r="F65" s="978"/>
      <c r="G65" s="277"/>
      <c r="H65" s="68"/>
    </row>
    <row r="66" spans="1:8" ht="15">
      <c r="A66" s="75"/>
      <c r="B66" s="75"/>
      <c r="C66" s="74"/>
      <c r="D66" s="5"/>
      <c r="E66" s="75"/>
      <c r="F66" s="978"/>
      <c r="G66" s="277"/>
      <c r="H66" s="68"/>
    </row>
    <row r="67" spans="1:8" ht="15">
      <c r="A67" s="75"/>
      <c r="B67" s="75"/>
      <c r="C67" s="74"/>
      <c r="D67" s="5"/>
      <c r="E67" s="75"/>
      <c r="F67" s="978"/>
      <c r="G67" s="277"/>
      <c r="H67" s="68"/>
    </row>
    <row r="68" spans="1:8" ht="15">
      <c r="A68" s="75"/>
      <c r="B68" s="75"/>
      <c r="C68" s="74"/>
      <c r="D68" s="5"/>
      <c r="E68" s="75"/>
      <c r="H68" s="68"/>
    </row>
    <row r="69" spans="1:8" ht="15">
      <c r="A69" s="75"/>
      <c r="B69" s="75"/>
      <c r="C69" s="74"/>
      <c r="D69" s="5"/>
      <c r="E69" s="75"/>
      <c r="H69" s="68"/>
    </row>
    <row r="70" spans="1:8" ht="15">
      <c r="A70" s="75"/>
      <c r="B70" s="75"/>
      <c r="C70" s="74"/>
      <c r="D70" s="5"/>
      <c r="E70" s="75"/>
      <c r="H70" s="68"/>
    </row>
    <row r="71" spans="1:8" ht="15">
      <c r="A71" s="75"/>
      <c r="B71" s="75"/>
      <c r="C71" s="74"/>
      <c r="D71" s="5"/>
      <c r="E71" s="75"/>
      <c r="H71" s="68"/>
    </row>
    <row r="72" spans="1:8" ht="15">
      <c r="A72" s="6"/>
      <c r="B72" s="6"/>
      <c r="C72" s="6"/>
      <c r="D72" s="5"/>
      <c r="E72" s="6"/>
      <c r="G72" s="282"/>
      <c r="H72" s="37"/>
    </row>
    <row r="73" spans="1:8" ht="15">
      <c r="A73" s="75"/>
      <c r="B73" s="74"/>
      <c r="C73" s="74"/>
      <c r="D73" s="5"/>
      <c r="E73" s="75"/>
      <c r="F73" s="978"/>
      <c r="G73" s="277"/>
      <c r="H73" s="68"/>
    </row>
    <row r="74" spans="1:8" ht="15">
      <c r="A74" s="75"/>
      <c r="B74" s="74"/>
      <c r="C74" s="74"/>
      <c r="D74" s="5"/>
      <c r="E74" s="75"/>
      <c r="F74" s="978"/>
      <c r="G74" s="277"/>
      <c r="H74" s="68"/>
    </row>
    <row r="75" spans="1:8" ht="15">
      <c r="A75" s="75"/>
      <c r="B75" s="74"/>
      <c r="C75" s="74"/>
      <c r="D75" s="5"/>
      <c r="E75" s="75"/>
      <c r="F75" s="978"/>
      <c r="G75" s="277"/>
      <c r="H75" s="68"/>
    </row>
    <row r="76" spans="1:8" ht="15">
      <c r="A76" s="75"/>
      <c r="B76" s="74"/>
      <c r="C76" s="74"/>
      <c r="D76" s="5"/>
      <c r="E76" s="75"/>
      <c r="F76" s="978"/>
      <c r="G76" s="277"/>
      <c r="H76" s="68"/>
    </row>
    <row r="77" spans="1:8" ht="15">
      <c r="A77" s="75"/>
      <c r="B77" s="74"/>
      <c r="C77" s="74"/>
      <c r="D77" s="5"/>
      <c r="E77" s="75"/>
      <c r="H77" s="68"/>
    </row>
    <row r="78" spans="1:8" ht="15">
      <c r="A78" s="75"/>
      <c r="B78" s="74"/>
      <c r="C78" s="74"/>
      <c r="D78" s="5"/>
      <c r="E78" s="75"/>
      <c r="H78" s="68"/>
    </row>
    <row r="79" spans="1:8" ht="15">
      <c r="A79" s="6"/>
      <c r="B79" s="6"/>
      <c r="C79" s="6"/>
      <c r="D79" s="5"/>
      <c r="E79" s="6"/>
      <c r="G79" s="282"/>
      <c r="H79" s="37"/>
    </row>
    <row r="80" spans="1:8" ht="15">
      <c r="A80" s="75"/>
      <c r="B80" s="74"/>
      <c r="C80" s="74"/>
      <c r="D80" s="5"/>
      <c r="E80" s="75"/>
      <c r="F80" s="978"/>
      <c r="G80" s="277"/>
      <c r="H80" s="68"/>
    </row>
    <row r="81" spans="1:8" ht="15">
      <c r="A81" s="75"/>
      <c r="B81" s="74"/>
      <c r="C81" s="74"/>
      <c r="D81" s="5"/>
      <c r="E81" s="75"/>
      <c r="F81" s="978"/>
      <c r="G81" s="277"/>
      <c r="H81" s="68"/>
    </row>
    <row r="82" spans="1:8" ht="15">
      <c r="A82" s="75"/>
      <c r="B82" s="74"/>
      <c r="C82" s="74"/>
      <c r="D82" s="5"/>
      <c r="E82" s="75"/>
      <c r="H82" s="68"/>
    </row>
    <row r="83" spans="1:8" ht="15">
      <c r="A83" s="75"/>
      <c r="B83" s="74"/>
      <c r="C83" s="74"/>
      <c r="D83" s="5"/>
      <c r="E83" s="75"/>
      <c r="F83" s="978"/>
      <c r="G83" s="277"/>
      <c r="H83" s="68"/>
    </row>
    <row r="84" spans="1:8" ht="15">
      <c r="A84" s="75"/>
      <c r="B84" s="74"/>
      <c r="C84" s="74"/>
      <c r="D84" s="5"/>
      <c r="E84" s="75"/>
      <c r="F84" s="978"/>
      <c r="G84" s="277"/>
      <c r="H84" s="68"/>
    </row>
    <row r="85" spans="1:8" ht="15">
      <c r="A85" s="75"/>
      <c r="B85" s="74"/>
      <c r="C85" s="74"/>
      <c r="D85" s="5"/>
      <c r="E85" s="75"/>
      <c r="H85" s="68"/>
    </row>
    <row r="86" spans="1:8" ht="15">
      <c r="A86" s="75"/>
      <c r="B86" s="74"/>
      <c r="C86" s="74"/>
      <c r="D86" s="5"/>
      <c r="E86" s="75"/>
      <c r="H86" s="68"/>
    </row>
    <row r="87" spans="1:8" ht="15">
      <c r="A87" s="75"/>
      <c r="B87" s="74"/>
      <c r="C87" s="74"/>
      <c r="D87" s="5"/>
      <c r="E87" s="75"/>
      <c r="H87" s="68"/>
    </row>
    <row r="88" spans="1:8" ht="15">
      <c r="A88" s="75"/>
      <c r="B88" s="74"/>
      <c r="C88" s="74"/>
      <c r="D88" s="5"/>
      <c r="E88" s="75"/>
      <c r="H88" s="68"/>
    </row>
    <row r="89" spans="1:8" ht="15">
      <c r="A89" s="75"/>
      <c r="B89" s="74"/>
      <c r="C89" s="74"/>
      <c r="D89" s="5"/>
      <c r="E89" s="75"/>
      <c r="H89" s="68"/>
    </row>
    <row r="90" spans="1:8" ht="15">
      <c r="A90" s="75"/>
      <c r="B90" s="74"/>
      <c r="C90" s="74"/>
      <c r="D90" s="5"/>
      <c r="E90" s="75"/>
      <c r="H90" s="68"/>
    </row>
    <row r="91" spans="1:8" ht="15">
      <c r="A91" s="75"/>
      <c r="B91" s="74"/>
      <c r="C91" s="74"/>
      <c r="D91" s="5"/>
      <c r="E91" s="75"/>
      <c r="H91" s="68"/>
    </row>
    <row r="92" spans="1:8" ht="15">
      <c r="A92" s="75"/>
      <c r="B92" s="74"/>
      <c r="C92" s="74"/>
      <c r="D92" s="5"/>
      <c r="E92" s="75"/>
      <c r="H92" s="68"/>
    </row>
    <row r="93" spans="1:8" ht="15">
      <c r="A93" s="75"/>
      <c r="B93" s="74"/>
      <c r="C93" s="74"/>
      <c r="D93" s="5"/>
      <c r="E93" s="75"/>
      <c r="H93" s="68"/>
    </row>
    <row r="94" spans="1:8" ht="15">
      <c r="A94" s="75"/>
      <c r="B94" s="74"/>
      <c r="C94" s="74"/>
      <c r="D94" s="5"/>
      <c r="E94" s="75"/>
      <c r="H94" s="68"/>
    </row>
    <row r="95" spans="1:8" ht="15">
      <c r="A95" s="75"/>
      <c r="B95" s="74"/>
      <c r="C95" s="74"/>
      <c r="D95" s="5"/>
      <c r="E95" s="75"/>
      <c r="G95" s="69"/>
      <c r="H95" s="68"/>
    </row>
    <row r="96" spans="1:8" ht="15">
      <c r="A96" s="6"/>
      <c r="B96" s="6"/>
      <c r="C96" s="6"/>
      <c r="D96" s="33"/>
      <c r="E96" s="6"/>
      <c r="G96" s="282"/>
      <c r="H96" s="37"/>
    </row>
    <row r="97" spans="1:8" ht="15">
      <c r="A97" s="6"/>
      <c r="B97" s="6"/>
      <c r="C97" s="6"/>
      <c r="D97" s="33"/>
      <c r="E97" s="6"/>
      <c r="G97" s="283"/>
      <c r="H97" s="37"/>
    </row>
  </sheetData>
  <mergeCells count="10">
    <mergeCell ref="A10:F10"/>
    <mergeCell ref="G10:G11"/>
    <mergeCell ref="H10:H11"/>
    <mergeCell ref="A28:G28"/>
    <mergeCell ref="A2:H2"/>
    <mergeCell ref="A3:H3"/>
    <mergeCell ref="A4:H4"/>
    <mergeCell ref="A5:H5"/>
    <mergeCell ref="A7:H8"/>
    <mergeCell ref="A9:H9"/>
  </mergeCells>
  <pageMargins left="0.70866141732283472" right="0.31496062992125984" top="0.94488188976377963" bottom="0.74803149606299213" header="0.31496062992125984" footer="0.31496062992125984"/>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S211"/>
  <sheetViews>
    <sheetView view="pageBreakPreview" topLeftCell="B102" zoomScale="80" zoomScaleNormal="80" zoomScaleSheetLayoutView="80" workbookViewId="0">
      <selection activeCell="B13" sqref="B13"/>
    </sheetView>
  </sheetViews>
  <sheetFormatPr baseColWidth="10" defaultRowHeight="12.75"/>
  <cols>
    <col min="1" max="1" width="15.85546875" customWidth="1"/>
    <col min="2" max="2" width="73" customWidth="1"/>
    <col min="3" max="3" width="21.42578125" customWidth="1"/>
    <col min="4" max="4" width="7.7109375" style="203" bestFit="1" customWidth="1"/>
    <col min="5" max="5" width="13.42578125" customWidth="1"/>
    <col min="6" max="6" width="12.140625" customWidth="1"/>
    <col min="7" max="7" width="16.5703125" customWidth="1"/>
    <col min="8" max="8" width="16" customWidth="1"/>
    <col min="9" max="9" width="11" customWidth="1"/>
    <col min="10" max="10" width="10.28515625" hidden="1" customWidth="1"/>
    <col min="11" max="11" width="13.28515625" customWidth="1"/>
    <col min="12" max="12" width="13.140625" customWidth="1"/>
    <col min="13" max="13" width="15.140625" customWidth="1"/>
    <col min="17" max="17" width="13.42578125" customWidth="1"/>
  </cols>
  <sheetData>
    <row r="1" spans="1:19" s="451" customFormat="1" ht="39.75" customHeight="1">
      <c r="A1" s="1574" t="s">
        <v>1014</v>
      </c>
      <c r="B1" s="1575"/>
      <c r="C1" s="1575"/>
      <c r="D1" s="1575"/>
      <c r="E1" s="1575"/>
      <c r="F1" s="1575"/>
      <c r="G1" s="1575"/>
      <c r="H1" s="1575"/>
      <c r="I1" s="1575"/>
      <c r="J1" s="1575"/>
      <c r="K1" s="1575"/>
      <c r="L1" s="1575"/>
      <c r="M1" s="1576"/>
      <c r="N1" s="453"/>
    </row>
    <row r="2" spans="1:19" s="456" customFormat="1" ht="69" customHeight="1">
      <c r="A2" s="1030" t="s">
        <v>180</v>
      </c>
      <c r="B2" s="1031" t="s">
        <v>181</v>
      </c>
      <c r="C2" s="1032" t="s">
        <v>182</v>
      </c>
      <c r="D2" s="1033" t="s">
        <v>810</v>
      </c>
      <c r="E2" s="840" t="s">
        <v>183</v>
      </c>
      <c r="F2" s="455" t="s">
        <v>195</v>
      </c>
      <c r="G2" s="1017" t="s">
        <v>697</v>
      </c>
      <c r="H2" s="454" t="s">
        <v>698</v>
      </c>
      <c r="I2" s="455" t="s">
        <v>699</v>
      </c>
      <c r="J2" s="455" t="s">
        <v>637</v>
      </c>
      <c r="K2" s="1034" t="s">
        <v>638</v>
      </c>
      <c r="L2" s="454" t="s">
        <v>1013</v>
      </c>
      <c r="M2" s="1035" t="s">
        <v>185</v>
      </c>
      <c r="S2" s="456" t="s">
        <v>412</v>
      </c>
    </row>
    <row r="3" spans="1:19" s="821" customFormat="1" ht="22.5" customHeight="1">
      <c r="A3" s="1285"/>
      <c r="B3" s="452" t="s">
        <v>186</v>
      </c>
      <c r="C3" s="1024"/>
      <c r="D3" s="1025" t="s">
        <v>187</v>
      </c>
      <c r="E3" s="1026"/>
      <c r="F3" s="1026">
        <f>C3</f>
        <v>0</v>
      </c>
      <c r="G3" s="1026"/>
      <c r="H3" s="1026"/>
      <c r="I3" s="1027"/>
      <c r="J3" s="1027"/>
      <c r="K3" s="1028"/>
      <c r="L3" s="1029"/>
      <c r="M3" s="1026">
        <f>SUM(E3:L3)</f>
        <v>0</v>
      </c>
    </row>
    <row r="4" spans="1:19" s="821" customFormat="1" ht="22.5" customHeight="1">
      <c r="A4" s="1285"/>
      <c r="B4" s="452" t="s">
        <v>188</v>
      </c>
      <c r="C4" s="774"/>
      <c r="D4" s="823" t="s">
        <v>187</v>
      </c>
      <c r="E4" s="774"/>
      <c r="F4" s="774">
        <f>C4</f>
        <v>0</v>
      </c>
      <c r="G4" s="774"/>
      <c r="H4" s="774"/>
      <c r="I4" s="775"/>
      <c r="J4" s="775"/>
      <c r="K4" s="775"/>
      <c r="L4" s="775"/>
      <c r="M4" s="1026">
        <f t="shared" ref="M4:M51" si="0">SUM(E4:L4)</f>
        <v>0</v>
      </c>
    </row>
    <row r="5" spans="1:19" s="821" customFormat="1" ht="26.25" customHeight="1">
      <c r="A5" s="1286"/>
      <c r="B5" s="1289" t="s">
        <v>369</v>
      </c>
      <c r="C5" s="773"/>
      <c r="D5" s="823" t="s">
        <v>187</v>
      </c>
      <c r="E5" s="774"/>
      <c r="F5" s="774"/>
      <c r="G5" s="774"/>
      <c r="H5" s="774"/>
      <c r="I5" s="775"/>
      <c r="J5" s="775"/>
      <c r="K5" s="775"/>
      <c r="L5" s="775"/>
      <c r="M5" s="1026">
        <f t="shared" si="0"/>
        <v>0</v>
      </c>
    </row>
    <row r="6" spans="1:19" s="821" customFormat="1" ht="42" customHeight="1">
      <c r="A6" s="1286"/>
      <c r="B6" s="829" t="s">
        <v>1096</v>
      </c>
      <c r="C6" s="1290">
        <v>44485.02</v>
      </c>
      <c r="D6" s="823" t="s">
        <v>187</v>
      </c>
      <c r="E6" s="820">
        <f>C6</f>
        <v>44485.02</v>
      </c>
      <c r="F6" s="774"/>
      <c r="G6" s="774"/>
      <c r="H6" s="774"/>
      <c r="I6" s="775"/>
      <c r="J6" s="775"/>
      <c r="K6" s="775"/>
      <c r="L6" s="775"/>
      <c r="M6" s="1026">
        <f t="shared" si="0"/>
        <v>44485.02</v>
      </c>
    </row>
    <row r="7" spans="1:19" s="821" customFormat="1" ht="26.25" customHeight="1">
      <c r="A7" s="1287"/>
      <c r="B7" s="1289" t="s">
        <v>986</v>
      </c>
      <c r="C7" s="773"/>
      <c r="D7" s="823"/>
      <c r="E7" s="774"/>
      <c r="F7" s="774"/>
      <c r="G7" s="774"/>
      <c r="H7" s="774"/>
      <c r="I7" s="775"/>
      <c r="J7" s="775"/>
      <c r="K7" s="775"/>
      <c r="L7" s="775"/>
      <c r="M7" s="1026">
        <f t="shared" si="0"/>
        <v>0</v>
      </c>
    </row>
    <row r="8" spans="1:19" s="821" customFormat="1" ht="34.5" customHeight="1">
      <c r="A8" s="1288"/>
      <c r="B8" s="819" t="s">
        <v>1093</v>
      </c>
      <c r="C8" s="1011">
        <v>68.05</v>
      </c>
      <c r="D8" s="823" t="s">
        <v>187</v>
      </c>
      <c r="E8" s="774"/>
      <c r="F8" s="820">
        <f>C8</f>
        <v>68.05</v>
      </c>
      <c r="G8" s="820"/>
      <c r="H8" s="820"/>
      <c r="I8" s="775"/>
      <c r="J8" s="775"/>
      <c r="K8" s="775"/>
      <c r="L8" s="775"/>
      <c r="M8" s="1026">
        <f t="shared" si="0"/>
        <v>68.05</v>
      </c>
    </row>
    <row r="9" spans="1:19" s="821" customFormat="1" ht="30.75" customHeight="1">
      <c r="A9" s="1288"/>
      <c r="B9" s="1012" t="s">
        <v>1095</v>
      </c>
      <c r="C9" s="1011">
        <v>12427.42</v>
      </c>
      <c r="D9" s="823"/>
      <c r="E9" s="774"/>
      <c r="F9" s="774"/>
      <c r="G9" s="774">
        <f>C9</f>
        <v>12427.42</v>
      </c>
      <c r="H9" s="774"/>
      <c r="I9" s="774"/>
      <c r="J9" s="774"/>
      <c r="K9" s="774"/>
      <c r="L9" s="775"/>
      <c r="M9" s="1026">
        <f t="shared" si="0"/>
        <v>12427.42</v>
      </c>
    </row>
    <row r="10" spans="1:19" s="821" customFormat="1" ht="35.25" customHeight="1">
      <c r="A10" s="1288"/>
      <c r="B10" s="819" t="s">
        <v>1094</v>
      </c>
      <c r="C10" s="1011">
        <v>92542.19</v>
      </c>
      <c r="D10" s="823"/>
      <c r="E10" s="774"/>
      <c r="F10" s="774"/>
      <c r="G10" s="774"/>
      <c r="H10" s="774">
        <f>SUM(C24:C47)+C10</f>
        <v>236879.24999999997</v>
      </c>
      <c r="I10" s="774"/>
      <c r="J10" s="774"/>
      <c r="K10" s="774"/>
      <c r="L10" s="775"/>
      <c r="M10" s="1026">
        <f t="shared" si="0"/>
        <v>236879.24999999997</v>
      </c>
    </row>
    <row r="11" spans="1:19" s="821" customFormat="1" ht="24.75" customHeight="1">
      <c r="A11" s="1287"/>
      <c r="B11" s="1289" t="s">
        <v>985</v>
      </c>
      <c r="C11" s="774"/>
      <c r="D11" s="823"/>
      <c r="E11" s="774"/>
      <c r="F11" s="774"/>
      <c r="G11" s="774"/>
      <c r="H11" s="774"/>
      <c r="I11" s="774"/>
      <c r="J11" s="774"/>
      <c r="K11" s="774"/>
      <c r="L11" s="775"/>
      <c r="M11" s="1026">
        <f t="shared" si="0"/>
        <v>0</v>
      </c>
    </row>
    <row r="12" spans="1:19" s="821" customFormat="1" ht="26.25" customHeight="1">
      <c r="A12" s="1288"/>
      <c r="B12" s="819" t="s">
        <v>1097</v>
      </c>
      <c r="C12" s="1011">
        <v>634.87</v>
      </c>
      <c r="D12" s="823"/>
      <c r="E12" s="774"/>
      <c r="F12" s="775"/>
      <c r="G12" s="775"/>
      <c r="H12" s="775"/>
      <c r="I12" s="820">
        <f>SUM(C12:C13)</f>
        <v>637.87</v>
      </c>
      <c r="J12" s="820"/>
      <c r="K12" s="775"/>
      <c r="L12" s="775"/>
      <c r="M12" s="1026">
        <f t="shared" si="0"/>
        <v>637.87</v>
      </c>
    </row>
    <row r="13" spans="1:19" s="821" customFormat="1" ht="28.5" customHeight="1">
      <c r="A13" s="1288"/>
      <c r="B13" s="819" t="s">
        <v>1098</v>
      </c>
      <c r="C13" s="1011">
        <v>3</v>
      </c>
      <c r="D13" s="823"/>
      <c r="E13" s="774"/>
      <c r="F13" s="775"/>
      <c r="G13" s="775"/>
      <c r="H13" s="775"/>
      <c r="I13" s="820"/>
      <c r="J13" s="820"/>
      <c r="K13" s="774">
        <f>SUM(C14:C23)</f>
        <v>6738.11</v>
      </c>
      <c r="L13" s="775"/>
      <c r="M13" s="1026">
        <f t="shared" si="0"/>
        <v>6738.11</v>
      </c>
    </row>
    <row r="14" spans="1:19" s="297" customFormat="1" ht="27.75" customHeight="1">
      <c r="A14" s="1288"/>
      <c r="B14" s="817" t="s">
        <v>981</v>
      </c>
      <c r="C14" s="1011">
        <v>3215.24</v>
      </c>
      <c r="D14" s="822"/>
      <c r="E14" s="309"/>
      <c r="F14" s="411"/>
      <c r="G14" s="411"/>
      <c r="H14" s="411"/>
      <c r="I14" s="412"/>
      <c r="J14" s="412"/>
      <c r="K14" s="411"/>
      <c r="L14" s="411"/>
      <c r="M14" s="1026">
        <f t="shared" si="0"/>
        <v>0</v>
      </c>
    </row>
    <row r="15" spans="1:19" s="297" customFormat="1" ht="27.75" customHeight="1">
      <c r="A15" s="1288"/>
      <c r="B15" s="817" t="s">
        <v>982</v>
      </c>
      <c r="C15" s="1011">
        <v>24.6</v>
      </c>
      <c r="D15" s="822"/>
      <c r="E15" s="309"/>
      <c r="F15" s="411"/>
      <c r="G15" s="411"/>
      <c r="H15" s="411"/>
      <c r="I15" s="412"/>
      <c r="J15" s="412"/>
      <c r="K15" s="411"/>
      <c r="L15" s="411"/>
      <c r="M15" s="1026">
        <f t="shared" si="0"/>
        <v>0</v>
      </c>
    </row>
    <row r="16" spans="1:19" s="297" customFormat="1" ht="27.75" customHeight="1">
      <c r="A16" s="1288"/>
      <c r="B16" s="817" t="s">
        <v>978</v>
      </c>
      <c r="C16" s="1011">
        <v>212.7</v>
      </c>
      <c r="D16" s="822"/>
      <c r="E16" s="309"/>
      <c r="F16" s="411"/>
      <c r="G16" s="411"/>
      <c r="H16" s="411"/>
      <c r="I16" s="412"/>
      <c r="J16" s="412"/>
      <c r="K16" s="411"/>
      <c r="L16" s="411"/>
      <c r="M16" s="1026">
        <f t="shared" si="0"/>
        <v>0</v>
      </c>
      <c r="R16" s="297" t="e">
        <f>#REF!*0.1</f>
        <v>#REF!</v>
      </c>
    </row>
    <row r="17" spans="1:18" s="297" customFormat="1" ht="27.75" customHeight="1">
      <c r="A17" s="1288"/>
      <c r="B17" s="817" t="s">
        <v>749</v>
      </c>
      <c r="C17" s="1011">
        <v>71.98</v>
      </c>
      <c r="D17" s="822"/>
      <c r="E17" s="309"/>
      <c r="F17" s="411"/>
      <c r="G17" s="411"/>
      <c r="H17" s="411"/>
      <c r="I17" s="412"/>
      <c r="J17" s="412"/>
      <c r="K17" s="411"/>
      <c r="L17" s="411"/>
      <c r="M17" s="1026">
        <f t="shared" si="0"/>
        <v>0</v>
      </c>
      <c r="P17" s="297">
        <v>27.78</v>
      </c>
      <c r="Q17" s="297">
        <f>P17*10%</f>
        <v>2.7780000000000005</v>
      </c>
      <c r="R17" s="297">
        <f>P17-Q17</f>
        <v>25.002000000000002</v>
      </c>
    </row>
    <row r="18" spans="1:18" s="297" customFormat="1" ht="36" customHeight="1">
      <c r="A18" s="1288"/>
      <c r="B18" s="818" t="s">
        <v>750</v>
      </c>
      <c r="C18" s="1011">
        <v>7.23</v>
      </c>
      <c r="D18" s="822"/>
      <c r="E18" s="309"/>
      <c r="F18" s="411"/>
      <c r="G18" s="411"/>
      <c r="H18" s="411"/>
      <c r="I18" s="412"/>
      <c r="J18" s="412"/>
      <c r="K18" s="411"/>
      <c r="L18" s="411"/>
      <c r="M18" s="1026">
        <f t="shared" si="0"/>
        <v>0</v>
      </c>
      <c r="P18" s="297">
        <v>26.67</v>
      </c>
      <c r="Q18" s="297">
        <f>P18*10%</f>
        <v>2.6670000000000003</v>
      </c>
      <c r="R18" s="297">
        <f>P18-Q18</f>
        <v>24.003</v>
      </c>
    </row>
    <row r="19" spans="1:18" s="297" customFormat="1" ht="33" customHeight="1">
      <c r="A19" s="1288"/>
      <c r="B19" s="818" t="s">
        <v>751</v>
      </c>
      <c r="C19" s="1011">
        <v>302.02999999999997</v>
      </c>
      <c r="D19" s="822"/>
      <c r="E19" s="309"/>
      <c r="F19" s="411"/>
      <c r="G19" s="411"/>
      <c r="H19" s="411"/>
      <c r="I19" s="412"/>
      <c r="J19" s="412"/>
      <c r="K19" s="412"/>
      <c r="L19" s="411"/>
      <c r="M19" s="1026">
        <f t="shared" si="0"/>
        <v>0</v>
      </c>
    </row>
    <row r="20" spans="1:18" s="297" customFormat="1" ht="27" customHeight="1">
      <c r="A20" s="1288"/>
      <c r="B20" s="818" t="s">
        <v>753</v>
      </c>
      <c r="C20" s="1011">
        <v>1937.66</v>
      </c>
      <c r="D20" s="822"/>
      <c r="E20" s="309"/>
      <c r="F20" s="411"/>
      <c r="G20" s="411"/>
      <c r="H20" s="411"/>
      <c r="I20" s="412"/>
      <c r="J20" s="412"/>
      <c r="K20" s="412"/>
      <c r="L20" s="411"/>
      <c r="M20" s="1026">
        <f t="shared" si="0"/>
        <v>0</v>
      </c>
    </row>
    <row r="21" spans="1:18" s="297" customFormat="1" ht="28.5" customHeight="1">
      <c r="A21" s="1288"/>
      <c r="B21" s="818" t="s">
        <v>752</v>
      </c>
      <c r="C21" s="1011">
        <v>135.51</v>
      </c>
      <c r="D21" s="822"/>
      <c r="E21" s="309"/>
      <c r="F21" s="411"/>
      <c r="G21" s="411"/>
      <c r="H21" s="411"/>
      <c r="I21" s="412"/>
      <c r="J21" s="412"/>
      <c r="K21" s="412"/>
      <c r="L21" s="411"/>
      <c r="M21" s="1026">
        <f t="shared" si="0"/>
        <v>0</v>
      </c>
      <c r="Q21" s="410"/>
    </row>
    <row r="22" spans="1:18" s="297" customFormat="1" ht="24.75" customHeight="1">
      <c r="A22" s="1288"/>
      <c r="B22" s="818" t="s">
        <v>754</v>
      </c>
      <c r="C22" s="1011">
        <v>559.24</v>
      </c>
      <c r="D22" s="822"/>
      <c r="E22" s="309"/>
      <c r="F22" s="411"/>
      <c r="G22" s="411"/>
      <c r="H22" s="411"/>
      <c r="I22" s="412"/>
      <c r="J22" s="412"/>
      <c r="K22" s="412"/>
      <c r="L22" s="411"/>
      <c r="M22" s="1026">
        <f t="shared" si="0"/>
        <v>0</v>
      </c>
    </row>
    <row r="23" spans="1:18" s="297" customFormat="1" ht="31.5" customHeight="1">
      <c r="A23" s="1288"/>
      <c r="B23" s="818" t="s">
        <v>1057</v>
      </c>
      <c r="C23" s="1011">
        <v>271.92</v>
      </c>
      <c r="D23" s="822"/>
      <c r="E23" s="309"/>
      <c r="F23" s="411"/>
      <c r="G23" s="411"/>
      <c r="H23" s="411"/>
      <c r="I23" s="412"/>
      <c r="J23" s="412"/>
      <c r="K23" s="412"/>
      <c r="L23" s="411"/>
      <c r="M23" s="1026">
        <f t="shared" si="0"/>
        <v>0</v>
      </c>
    </row>
    <row r="24" spans="1:18" s="297" customFormat="1" ht="27.75" customHeight="1">
      <c r="A24" s="1288"/>
      <c r="B24" s="818" t="s">
        <v>980</v>
      </c>
      <c r="C24" s="1011">
        <v>850.51</v>
      </c>
      <c r="D24" s="822"/>
      <c r="E24" s="309"/>
      <c r="F24" s="411"/>
      <c r="G24" s="411"/>
      <c r="H24" s="411"/>
      <c r="I24" s="412"/>
      <c r="J24" s="412"/>
      <c r="K24" s="412"/>
      <c r="L24" s="411"/>
      <c r="M24" s="1026">
        <f t="shared" si="0"/>
        <v>0</v>
      </c>
    </row>
    <row r="25" spans="1:18" s="297" customFormat="1" ht="35.25" customHeight="1">
      <c r="A25" s="1288"/>
      <c r="B25" s="1283" t="s">
        <v>979</v>
      </c>
      <c r="C25" s="1011">
        <v>850.51</v>
      </c>
      <c r="D25" s="822"/>
      <c r="E25" s="309"/>
      <c r="F25" s="411"/>
      <c r="G25" s="411"/>
      <c r="H25" s="411"/>
      <c r="I25" s="412"/>
      <c r="J25" s="412"/>
      <c r="K25" s="411"/>
      <c r="L25" s="411"/>
      <c r="M25" s="1026">
        <f t="shared" si="0"/>
        <v>0</v>
      </c>
    </row>
    <row r="26" spans="1:18" s="297" customFormat="1" ht="25.5" customHeight="1">
      <c r="A26" s="1288"/>
      <c r="B26" s="819" t="s">
        <v>755</v>
      </c>
      <c r="C26" s="1011">
        <v>584.04999999999995</v>
      </c>
      <c r="D26" s="822"/>
      <c r="E26" s="309"/>
      <c r="F26" s="411"/>
      <c r="G26" s="411"/>
      <c r="H26" s="411"/>
      <c r="I26" s="412"/>
      <c r="J26" s="412"/>
      <c r="K26" s="411"/>
      <c r="L26" s="411"/>
      <c r="M26" s="1026">
        <f t="shared" si="0"/>
        <v>0</v>
      </c>
      <c r="P26" s="408"/>
    </row>
    <row r="27" spans="1:18" s="297" customFormat="1" ht="28.5" customHeight="1">
      <c r="A27" s="1288"/>
      <c r="B27" s="819" t="s">
        <v>922</v>
      </c>
      <c r="C27" s="1011">
        <v>3779.33</v>
      </c>
      <c r="D27" s="822"/>
      <c r="F27" s="309"/>
      <c r="G27" s="411"/>
      <c r="H27" s="411"/>
      <c r="I27" s="412"/>
      <c r="J27" s="412"/>
      <c r="K27" s="411"/>
      <c r="L27" s="411"/>
      <c r="M27" s="1026">
        <f t="shared" si="0"/>
        <v>0</v>
      </c>
    </row>
    <row r="28" spans="1:18" s="297" customFormat="1" ht="26.25" customHeight="1">
      <c r="A28" s="1288"/>
      <c r="B28" s="819" t="s">
        <v>984</v>
      </c>
      <c r="C28" s="1011">
        <v>9980.0499999999993</v>
      </c>
      <c r="D28" s="822"/>
      <c r="E28" s="309"/>
      <c r="F28" s="411"/>
      <c r="G28" s="411"/>
      <c r="H28" s="411"/>
      <c r="I28" s="412"/>
      <c r="J28" s="412"/>
      <c r="K28" s="412"/>
      <c r="L28" s="411"/>
      <c r="M28" s="1026">
        <f t="shared" si="0"/>
        <v>0</v>
      </c>
    </row>
    <row r="29" spans="1:18" s="297" customFormat="1" ht="26.25" customHeight="1">
      <c r="A29" s="1288"/>
      <c r="B29" s="819" t="s">
        <v>879</v>
      </c>
      <c r="C29" s="832">
        <v>1499.13</v>
      </c>
      <c r="D29" s="822"/>
      <c r="F29" s="309"/>
      <c r="G29" s="411"/>
      <c r="H29" s="411"/>
      <c r="I29" s="412"/>
      <c r="J29" s="412"/>
      <c r="K29" s="411"/>
      <c r="L29" s="411"/>
      <c r="M29" s="1026">
        <f t="shared" si="0"/>
        <v>0</v>
      </c>
    </row>
    <row r="30" spans="1:18" s="297" customFormat="1" ht="24.75" customHeight="1">
      <c r="A30" s="1288"/>
      <c r="B30" s="452" t="s">
        <v>878</v>
      </c>
      <c r="C30" s="832">
        <v>3448.7</v>
      </c>
      <c r="D30" s="822"/>
      <c r="E30" s="309"/>
      <c r="F30" s="411"/>
      <c r="G30" s="411"/>
      <c r="H30" s="411"/>
      <c r="I30" s="412"/>
      <c r="J30" s="412"/>
      <c r="K30" s="411"/>
      <c r="L30" s="411"/>
      <c r="M30" s="1026">
        <f t="shared" si="0"/>
        <v>0</v>
      </c>
    </row>
    <row r="31" spans="1:18" s="297" customFormat="1" ht="33" customHeight="1">
      <c r="A31" s="1288"/>
      <c r="B31" s="819" t="s">
        <v>757</v>
      </c>
      <c r="C31" s="832">
        <v>788.53</v>
      </c>
      <c r="D31" s="822"/>
      <c r="E31" s="309"/>
      <c r="F31" s="411"/>
      <c r="G31" s="411"/>
      <c r="H31" s="411"/>
      <c r="I31" s="412"/>
      <c r="J31" s="412"/>
      <c r="K31" s="411"/>
      <c r="L31" s="411"/>
      <c r="M31" s="1026">
        <f t="shared" si="0"/>
        <v>0</v>
      </c>
    </row>
    <row r="32" spans="1:18" s="297" customFormat="1" ht="54" customHeight="1">
      <c r="A32" s="1288"/>
      <c r="B32" s="1012" t="s">
        <v>758</v>
      </c>
      <c r="C32" s="832">
        <v>16358</v>
      </c>
      <c r="D32" s="822"/>
      <c r="E32" s="309"/>
      <c r="F32" s="309"/>
      <c r="G32" s="309"/>
      <c r="H32" s="309"/>
      <c r="I32" s="309"/>
      <c r="J32" s="309"/>
      <c r="K32" s="309"/>
      <c r="L32" s="411"/>
      <c r="M32" s="1026">
        <f t="shared" si="0"/>
        <v>0</v>
      </c>
    </row>
    <row r="33" spans="1:13" s="297" customFormat="1" ht="29.25" customHeight="1">
      <c r="A33" s="1288"/>
      <c r="B33" s="819" t="s">
        <v>877</v>
      </c>
      <c r="C33" s="832">
        <v>3345.87</v>
      </c>
      <c r="D33" s="822"/>
      <c r="E33" s="309"/>
      <c r="F33" s="309"/>
      <c r="G33" s="309"/>
      <c r="H33" s="309"/>
      <c r="I33" s="309"/>
      <c r="J33" s="309"/>
      <c r="K33" s="309"/>
      <c r="L33" s="411"/>
      <c r="M33" s="1026">
        <f t="shared" si="0"/>
        <v>0</v>
      </c>
    </row>
    <row r="34" spans="1:13" s="297" customFormat="1" ht="24" customHeight="1">
      <c r="A34" s="1288"/>
      <c r="B34" s="1284" t="s">
        <v>974</v>
      </c>
      <c r="C34" s="832">
        <v>1633.95</v>
      </c>
      <c r="D34" s="824"/>
      <c r="E34" s="309"/>
      <c r="F34" s="411"/>
      <c r="G34" s="411"/>
      <c r="H34" s="411"/>
      <c r="I34" s="309"/>
      <c r="J34" s="309"/>
      <c r="K34" s="309"/>
      <c r="L34" s="411"/>
      <c r="M34" s="1026">
        <f t="shared" si="0"/>
        <v>0</v>
      </c>
    </row>
    <row r="35" spans="1:13" s="297" customFormat="1" ht="24" customHeight="1">
      <c r="A35" s="1288"/>
      <c r="B35" s="819" t="s">
        <v>756</v>
      </c>
      <c r="C35" s="832">
        <v>1543.16</v>
      </c>
      <c r="D35" s="822"/>
      <c r="E35" s="411"/>
      <c r="F35" s="411"/>
      <c r="G35" s="411"/>
      <c r="H35" s="411"/>
      <c r="I35" s="309"/>
      <c r="J35" s="309"/>
      <c r="K35" s="309"/>
      <c r="L35" s="411"/>
      <c r="M35" s="1026">
        <f t="shared" si="0"/>
        <v>0</v>
      </c>
    </row>
    <row r="36" spans="1:13" s="297" customFormat="1" ht="22.5" customHeight="1">
      <c r="A36" s="1288"/>
      <c r="B36" s="819" t="s">
        <v>967</v>
      </c>
      <c r="C36" s="832">
        <v>5524.49</v>
      </c>
      <c r="D36" s="822"/>
      <c r="E36" s="411"/>
      <c r="F36" s="411"/>
      <c r="G36" s="411"/>
      <c r="H36" s="411"/>
      <c r="I36" s="309"/>
      <c r="J36" s="309"/>
      <c r="K36" s="309"/>
      <c r="L36" s="411"/>
      <c r="M36" s="1026">
        <f t="shared" si="0"/>
        <v>0</v>
      </c>
    </row>
    <row r="37" spans="1:13" s="297" customFormat="1" ht="18.75" customHeight="1">
      <c r="A37" s="1288"/>
      <c r="B37" s="819" t="s">
        <v>148</v>
      </c>
      <c r="C37" s="832">
        <v>2608.11</v>
      </c>
      <c r="D37" s="822"/>
      <c r="E37" s="411"/>
      <c r="F37" s="411"/>
      <c r="G37" s="411"/>
      <c r="H37" s="411"/>
      <c r="I37" s="309"/>
      <c r="J37" s="309"/>
      <c r="K37" s="309"/>
      <c r="L37" s="411"/>
      <c r="M37" s="1026">
        <f t="shared" si="0"/>
        <v>0</v>
      </c>
    </row>
    <row r="38" spans="1:13" s="297" customFormat="1" ht="21" customHeight="1">
      <c r="A38" s="1288"/>
      <c r="B38" s="829" t="s">
        <v>968</v>
      </c>
      <c r="C38" s="832" t="s">
        <v>423</v>
      </c>
      <c r="D38" s="824"/>
      <c r="E38" s="309"/>
      <c r="F38" s="411"/>
      <c r="G38" s="411"/>
      <c r="H38" s="411"/>
      <c r="I38" s="309"/>
      <c r="J38" s="309"/>
      <c r="K38" s="309"/>
      <c r="L38" s="411"/>
      <c r="M38" s="1026">
        <f t="shared" si="0"/>
        <v>0</v>
      </c>
    </row>
    <row r="39" spans="1:13" s="297" customFormat="1" ht="21.75" customHeight="1">
      <c r="A39" s="1288"/>
      <c r="B39" s="829" t="s">
        <v>969</v>
      </c>
      <c r="C39" s="832">
        <v>11860.32</v>
      </c>
      <c r="D39" s="824"/>
      <c r="E39" s="309"/>
      <c r="F39" s="411"/>
      <c r="G39" s="411"/>
      <c r="H39" s="411"/>
      <c r="I39" s="309"/>
      <c r="J39" s="309"/>
      <c r="K39" s="309"/>
      <c r="L39" s="411"/>
      <c r="M39" s="1026">
        <f t="shared" si="0"/>
        <v>0</v>
      </c>
    </row>
    <row r="40" spans="1:13" s="297" customFormat="1" ht="21.75" customHeight="1">
      <c r="A40" s="1288"/>
      <c r="B40" s="829" t="s">
        <v>970</v>
      </c>
      <c r="C40" s="832">
        <v>11176.52</v>
      </c>
      <c r="D40" s="824"/>
      <c r="E40" s="309"/>
      <c r="F40" s="411"/>
      <c r="G40" s="411"/>
      <c r="H40" s="411"/>
      <c r="I40" s="309"/>
      <c r="J40" s="309"/>
      <c r="K40" s="309"/>
      <c r="L40" s="411"/>
      <c r="M40" s="1026">
        <f t="shared" si="0"/>
        <v>0</v>
      </c>
    </row>
    <row r="41" spans="1:13" s="297" customFormat="1" ht="21.75" customHeight="1">
      <c r="A41" s="1288"/>
      <c r="B41" s="829" t="s">
        <v>971</v>
      </c>
      <c r="C41" s="832">
        <v>3358.8</v>
      </c>
      <c r="D41" s="824"/>
      <c r="E41" s="309"/>
      <c r="F41" s="411"/>
      <c r="G41" s="411"/>
      <c r="H41" s="411"/>
      <c r="I41" s="309"/>
      <c r="J41" s="309"/>
      <c r="K41" s="309"/>
      <c r="L41" s="411"/>
      <c r="M41" s="1026">
        <f t="shared" si="0"/>
        <v>0</v>
      </c>
    </row>
    <row r="42" spans="1:13" s="297" customFormat="1" ht="34.5" customHeight="1">
      <c r="A42" s="1288"/>
      <c r="B42" s="829" t="s">
        <v>983</v>
      </c>
      <c r="C42" s="832">
        <v>14997.46</v>
      </c>
      <c r="D42" s="824"/>
      <c r="E42" s="309"/>
      <c r="F42" s="411"/>
      <c r="G42" s="411"/>
      <c r="H42" s="411"/>
      <c r="I42" s="309"/>
      <c r="J42" s="309"/>
      <c r="K42" s="309"/>
      <c r="L42" s="411"/>
      <c r="M42" s="1026">
        <f t="shared" si="0"/>
        <v>0</v>
      </c>
    </row>
    <row r="43" spans="1:13" s="297" customFormat="1" ht="20.25" customHeight="1">
      <c r="A43" s="1288"/>
      <c r="B43" s="829" t="s">
        <v>972</v>
      </c>
      <c r="C43" s="832">
        <v>21880.51</v>
      </c>
      <c r="D43" s="824"/>
      <c r="E43" s="309"/>
      <c r="F43" s="411"/>
      <c r="G43" s="411"/>
      <c r="H43" s="411"/>
      <c r="I43" s="309"/>
      <c r="J43" s="309"/>
      <c r="K43" s="309"/>
      <c r="L43" s="411"/>
      <c r="M43" s="1026">
        <f t="shared" si="0"/>
        <v>0</v>
      </c>
    </row>
    <row r="44" spans="1:13" s="297" customFormat="1" ht="24.75" customHeight="1">
      <c r="A44" s="1288"/>
      <c r="B44" s="829" t="s">
        <v>973</v>
      </c>
      <c r="C44" s="832">
        <v>19898.66</v>
      </c>
      <c r="D44" s="824"/>
      <c r="E44" s="309"/>
      <c r="F44" s="411"/>
      <c r="G44" s="411"/>
      <c r="H44" s="411"/>
      <c r="I44" s="309"/>
      <c r="J44" s="309"/>
      <c r="K44" s="309"/>
      <c r="L44" s="411"/>
      <c r="M44" s="1026">
        <f t="shared" si="0"/>
        <v>0</v>
      </c>
    </row>
    <row r="45" spans="1:13" s="297" customFormat="1" ht="22.5" customHeight="1">
      <c r="A45" s="1288"/>
      <c r="B45" s="829" t="s">
        <v>987</v>
      </c>
      <c r="C45" s="832">
        <v>2852.07</v>
      </c>
      <c r="D45" s="824"/>
      <c r="E45" s="309"/>
      <c r="F45" s="411"/>
      <c r="G45" s="411"/>
      <c r="H45" s="411"/>
      <c r="I45" s="309"/>
      <c r="J45" s="309"/>
      <c r="K45" s="309"/>
      <c r="L45" s="411"/>
      <c r="M45" s="1026">
        <f t="shared" si="0"/>
        <v>0</v>
      </c>
    </row>
    <row r="46" spans="1:13" s="297" customFormat="1" ht="18" customHeight="1">
      <c r="A46" s="1288"/>
      <c r="B46" s="1284" t="s">
        <v>975</v>
      </c>
      <c r="C46" s="832">
        <v>997.47</v>
      </c>
      <c r="D46" s="824"/>
      <c r="E46" s="309"/>
      <c r="F46" s="411"/>
      <c r="G46" s="411"/>
      <c r="H46" s="411"/>
      <c r="I46" s="309"/>
      <c r="J46" s="309"/>
      <c r="K46" s="309"/>
      <c r="L46" s="411"/>
      <c r="M46" s="1026">
        <f t="shared" si="0"/>
        <v>0</v>
      </c>
    </row>
    <row r="47" spans="1:13" s="297" customFormat="1" ht="24" customHeight="1">
      <c r="A47" s="1288"/>
      <c r="B47" s="1284" t="s">
        <v>976</v>
      </c>
      <c r="C47" s="832">
        <v>4520.8599999999997</v>
      </c>
      <c r="D47" s="824"/>
      <c r="E47" s="309"/>
      <c r="F47" s="411"/>
      <c r="G47" s="411"/>
      <c r="H47" s="411"/>
      <c r="I47" s="309"/>
      <c r="J47" s="309"/>
      <c r="K47" s="309"/>
      <c r="L47" s="411"/>
      <c r="M47" s="1026">
        <f t="shared" si="0"/>
        <v>0</v>
      </c>
    </row>
    <row r="48" spans="1:13" s="821" customFormat="1" ht="24.75" customHeight="1">
      <c r="A48" s="1287"/>
      <c r="B48" s="1289" t="s">
        <v>995</v>
      </c>
      <c r="C48" s="774"/>
      <c r="D48" s="823"/>
      <c r="E48" s="774"/>
      <c r="F48" s="774"/>
      <c r="G48" s="774"/>
      <c r="H48" s="774"/>
      <c r="I48" s="774"/>
      <c r="J48" s="774"/>
      <c r="K48" s="774"/>
      <c r="L48" s="774">
        <f>SUM(C49:C50)</f>
        <v>54944.11</v>
      </c>
      <c r="M48" s="1026">
        <f t="shared" si="0"/>
        <v>54944.11</v>
      </c>
    </row>
    <row r="49" spans="1:14" s="297" customFormat="1" ht="22.5" customHeight="1">
      <c r="A49" s="1288"/>
      <c r="B49" s="829" t="s">
        <v>977</v>
      </c>
      <c r="C49" s="832">
        <v>53997.49</v>
      </c>
      <c r="D49" s="824"/>
      <c r="E49" s="309"/>
      <c r="F49" s="411"/>
      <c r="G49" s="411"/>
      <c r="H49" s="411"/>
      <c r="I49" s="309"/>
      <c r="J49" s="309"/>
      <c r="K49" s="309"/>
      <c r="L49" s="411"/>
      <c r="M49" s="1026">
        <f t="shared" si="0"/>
        <v>0</v>
      </c>
    </row>
    <row r="50" spans="1:14" s="297" customFormat="1" ht="33" customHeight="1" thickBot="1">
      <c r="A50" s="1288"/>
      <c r="B50" s="819" t="s">
        <v>966</v>
      </c>
      <c r="C50" s="832">
        <v>946.62</v>
      </c>
      <c r="D50" s="822"/>
      <c r="E50" s="309"/>
      <c r="F50" s="411"/>
      <c r="G50" s="411"/>
      <c r="H50" s="411"/>
      <c r="I50" s="309"/>
      <c r="J50" s="309"/>
      <c r="K50" s="309"/>
      <c r="L50" s="411"/>
      <c r="M50" s="1026">
        <f t="shared" si="0"/>
        <v>0</v>
      </c>
    </row>
    <row r="51" spans="1:14" s="297" customFormat="1" ht="20.25" hidden="1" customHeight="1" thickBot="1">
      <c r="A51" s="305"/>
      <c r="B51" s="409" t="s">
        <v>189</v>
      </c>
      <c r="C51" s="309"/>
      <c r="D51" s="824"/>
      <c r="E51" s="411"/>
      <c r="F51" s="411"/>
      <c r="G51" s="411"/>
      <c r="H51" s="411"/>
      <c r="I51" s="309"/>
      <c r="J51" s="309"/>
      <c r="K51" s="309"/>
      <c r="L51" s="411"/>
      <c r="M51" s="1026">
        <f t="shared" si="0"/>
        <v>0</v>
      </c>
    </row>
    <row r="52" spans="1:14" s="821" customFormat="1" ht="24.75" customHeight="1" thickBot="1">
      <c r="A52" s="830"/>
      <c r="B52" s="831" t="s">
        <v>165</v>
      </c>
      <c r="C52" s="832">
        <f>SUM(C3:C51)</f>
        <v>356179.8299999999</v>
      </c>
      <c r="D52" s="833">
        <f t="shared" ref="D52:L52" si="1">SUM(D3:D51)</f>
        <v>0</v>
      </c>
      <c r="E52" s="832">
        <f t="shared" si="1"/>
        <v>44485.02</v>
      </c>
      <c r="F52" s="832">
        <f t="shared" si="1"/>
        <v>68.05</v>
      </c>
      <c r="G52" s="832">
        <f t="shared" si="1"/>
        <v>12427.42</v>
      </c>
      <c r="H52" s="832">
        <f t="shared" si="1"/>
        <v>236879.24999999997</v>
      </c>
      <c r="I52" s="832">
        <f t="shared" si="1"/>
        <v>637.87</v>
      </c>
      <c r="J52" s="832">
        <f t="shared" si="1"/>
        <v>0</v>
      </c>
      <c r="K52" s="832">
        <f t="shared" si="1"/>
        <v>6738.11</v>
      </c>
      <c r="L52" s="832">
        <f t="shared" si="1"/>
        <v>54944.11</v>
      </c>
      <c r="M52" s="832">
        <f>SUM(E52:L52)</f>
        <v>356179.82999999996</v>
      </c>
      <c r="N52" s="834"/>
    </row>
    <row r="53" spans="1:14" s="297" customFormat="1" ht="3.75" hidden="1" customHeight="1">
      <c r="C53" s="308"/>
      <c r="D53" s="825"/>
      <c r="I53" s="308"/>
      <c r="J53" s="308"/>
      <c r="K53" s="308"/>
      <c r="M53" s="308"/>
    </row>
    <row r="54" spans="1:14" s="297" customFormat="1" ht="15" thickBot="1">
      <c r="C54" s="308"/>
      <c r="D54" s="825"/>
      <c r="I54" s="308"/>
      <c r="J54" s="308"/>
      <c r="K54" s="308"/>
    </row>
    <row r="55" spans="1:14" s="297" customFormat="1" ht="25.5" customHeight="1" thickBot="1">
      <c r="B55" s="1577" t="s">
        <v>997</v>
      </c>
      <c r="C55" s="1578"/>
      <c r="D55" s="825"/>
      <c r="F55" s="466"/>
      <c r="G55" s="466"/>
      <c r="H55" s="466"/>
      <c r="I55" s="466"/>
      <c r="J55" s="466"/>
      <c r="K55" s="466"/>
    </row>
    <row r="56" spans="1:14" s="297" customFormat="1" ht="36" customHeight="1">
      <c r="B56" s="1585" t="s">
        <v>190</v>
      </c>
      <c r="C56" s="1586"/>
      <c r="D56" s="825"/>
      <c r="E56" s="1588" t="s">
        <v>996</v>
      </c>
      <c r="F56" s="1588"/>
      <c r="G56" s="1588"/>
    </row>
    <row r="57" spans="1:14" s="297" customFormat="1" ht="38.25" customHeight="1">
      <c r="B57" s="301" t="s">
        <v>1029</v>
      </c>
      <c r="C57" s="299">
        <f>'Media Simple 5 años ingresos'!J64</f>
        <v>302478.82198459381</v>
      </c>
      <c r="D57" s="826"/>
      <c r="E57" s="1579" t="s">
        <v>191</v>
      </c>
      <c r="F57" s="1580"/>
      <c r="G57" s="309">
        <f>M3</f>
        <v>0</v>
      </c>
      <c r="H57" s="308"/>
      <c r="J57" s="308"/>
      <c r="K57" s="308"/>
    </row>
    <row r="58" spans="1:14" s="297" customFormat="1" ht="15" customHeight="1">
      <c r="B58" s="298" t="s">
        <v>1011</v>
      </c>
      <c r="C58" s="300">
        <f>E6</f>
        <v>44485.02</v>
      </c>
      <c r="D58" s="826"/>
      <c r="E58" s="1580" t="s">
        <v>192</v>
      </c>
      <c r="F58" s="1580"/>
      <c r="G58" s="309">
        <f>E6</f>
        <v>44485.02</v>
      </c>
      <c r="H58" s="308"/>
      <c r="J58" s="308"/>
      <c r="K58" s="308"/>
    </row>
    <row r="59" spans="1:14" s="297" customFormat="1" ht="15" hidden="1" customHeight="1">
      <c r="B59" s="298" t="s">
        <v>555</v>
      </c>
      <c r="C59" s="300">
        <f>SUM(E3)</f>
        <v>0</v>
      </c>
      <c r="D59" s="826"/>
      <c r="E59" s="1584"/>
      <c r="F59" s="1584"/>
      <c r="G59" s="309">
        <f>E7</f>
        <v>0</v>
      </c>
      <c r="H59" s="308"/>
      <c r="J59" s="308"/>
      <c r="K59" s="308"/>
    </row>
    <row r="60" spans="1:14" s="297" customFormat="1" ht="15" customHeight="1">
      <c r="B60" s="298"/>
      <c r="C60" s="300"/>
      <c r="D60" s="826"/>
      <c r="E60" s="1581" t="s">
        <v>393</v>
      </c>
      <c r="F60" s="1582"/>
      <c r="G60" s="777">
        <f>SUM(G57:G59)</f>
        <v>44485.02</v>
      </c>
      <c r="H60" s="308"/>
      <c r="J60" s="310"/>
      <c r="K60" s="310"/>
    </row>
    <row r="61" spans="1:14" s="297" customFormat="1" ht="15" customHeight="1" thickBot="1">
      <c r="B61" s="457" t="s">
        <v>193</v>
      </c>
      <c r="C61" s="458">
        <f>SUM(C57:C60)</f>
        <v>346963.84198459383</v>
      </c>
      <c r="D61" s="826"/>
      <c r="E61" s="1583" t="s">
        <v>195</v>
      </c>
      <c r="F61" s="1583"/>
      <c r="G61" s="309">
        <f>F8</f>
        <v>68.05</v>
      </c>
      <c r="H61" s="308"/>
      <c r="J61" s="308"/>
      <c r="K61" s="308"/>
    </row>
    <row r="62" spans="1:14" s="297" customFormat="1" ht="30" customHeight="1">
      <c r="B62" s="1589" t="s">
        <v>701</v>
      </c>
      <c r="C62" s="1590"/>
      <c r="D62" s="826"/>
      <c r="E62" s="1583" t="s">
        <v>699</v>
      </c>
      <c r="F62" s="1583"/>
      <c r="G62" s="309">
        <f>I12</f>
        <v>637.87</v>
      </c>
      <c r="H62" s="308"/>
      <c r="J62" s="308"/>
      <c r="K62" s="308"/>
    </row>
    <row r="63" spans="1:14" s="297" customFormat="1" ht="15" customHeight="1">
      <c r="B63" s="312" t="s">
        <v>1077</v>
      </c>
      <c r="C63" s="300"/>
      <c r="D63" s="826"/>
      <c r="E63" s="1587" t="s">
        <v>194</v>
      </c>
      <c r="F63" s="1587"/>
      <c r="G63" s="777">
        <f>SUM(G61:G62)</f>
        <v>705.92</v>
      </c>
      <c r="H63" s="308"/>
      <c r="J63" s="310"/>
      <c r="K63" s="310"/>
      <c r="L63" s="308"/>
    </row>
    <row r="64" spans="1:14" s="821" customFormat="1" ht="46.5" customHeight="1">
      <c r="B64" s="1036" t="s">
        <v>1012</v>
      </c>
      <c r="C64" s="1037">
        <f>C9</f>
        <v>12427.42</v>
      </c>
      <c r="D64" s="1038"/>
      <c r="E64" s="1594" t="s">
        <v>700</v>
      </c>
      <c r="F64" s="1594"/>
      <c r="G64" s="774">
        <f>G9</f>
        <v>12427.42</v>
      </c>
      <c r="H64" s="1039"/>
      <c r="J64" s="1040"/>
      <c r="K64" s="1040"/>
      <c r="L64" s="1039"/>
    </row>
    <row r="65" spans="2:13" s="297" customFormat="1" ht="23.25" customHeight="1" thickBot="1">
      <c r="B65" s="459" t="s">
        <v>193</v>
      </c>
      <c r="C65" s="458">
        <f>SUM(C63:C64)</f>
        <v>12427.42</v>
      </c>
      <c r="D65" s="825"/>
      <c r="E65" s="1592" t="s">
        <v>193</v>
      </c>
      <c r="F65" s="1592"/>
      <c r="G65" s="777">
        <f>G64</f>
        <v>12427.42</v>
      </c>
      <c r="H65" s="308"/>
      <c r="J65" s="308"/>
      <c r="K65" s="308"/>
      <c r="L65" s="308"/>
      <c r="M65" s="297" t="s">
        <v>644</v>
      </c>
    </row>
    <row r="66" spans="2:13" s="297" customFormat="1" ht="31.5" customHeight="1" thickTop="1">
      <c r="B66" s="312" t="s">
        <v>702</v>
      </c>
      <c r="C66" s="299">
        <f>F8</f>
        <v>68.05</v>
      </c>
      <c r="D66" s="825"/>
      <c r="E66" s="1593" t="s">
        <v>678</v>
      </c>
      <c r="F66" s="1593"/>
      <c r="G66" s="309">
        <f>H10</f>
        <v>236879.24999999997</v>
      </c>
      <c r="H66" s="308"/>
      <c r="J66" s="310"/>
      <c r="K66" s="310"/>
    </row>
    <row r="67" spans="2:13" s="297" customFormat="1" ht="30.75" customHeight="1">
      <c r="B67" s="460" t="s">
        <v>193</v>
      </c>
      <c r="C67" s="776">
        <f>C66</f>
        <v>68.05</v>
      </c>
      <c r="D67" s="825"/>
      <c r="E67" s="1593" t="s">
        <v>1015</v>
      </c>
      <c r="F67" s="1593"/>
      <c r="G67" s="309">
        <f>L48</f>
        <v>54944.11</v>
      </c>
      <c r="H67" s="308"/>
      <c r="J67" s="308"/>
      <c r="K67" s="308"/>
    </row>
    <row r="68" spans="2:13" s="297" customFormat="1" ht="23.25" customHeight="1">
      <c r="B68" s="1591" t="s">
        <v>686</v>
      </c>
      <c r="C68" s="1591"/>
      <c r="D68" s="825"/>
      <c r="E68" s="1592" t="s">
        <v>193</v>
      </c>
      <c r="F68" s="1592"/>
      <c r="G68" s="465">
        <f>SUM(G66:G67)</f>
        <v>291823.35999999999</v>
      </c>
      <c r="H68" s="308"/>
      <c r="J68" s="308"/>
      <c r="K68" s="308"/>
    </row>
    <row r="69" spans="2:13" s="297" customFormat="1" ht="18" customHeight="1">
      <c r="B69" s="312" t="s">
        <v>1031</v>
      </c>
      <c r="C69" s="300">
        <f>H10</f>
        <v>236879.24999999997</v>
      </c>
      <c r="D69" s="825"/>
      <c r="E69" s="1595"/>
      <c r="F69" s="1595"/>
      <c r="G69" s="403">
        <f>K52</f>
        <v>6738.11</v>
      </c>
      <c r="H69" s="308"/>
      <c r="J69" s="310"/>
      <c r="K69" s="310"/>
    </row>
    <row r="70" spans="2:13" s="297" customFormat="1" ht="14.25">
      <c r="B70" s="312" t="s">
        <v>1030</v>
      </c>
      <c r="C70" s="300">
        <v>371912.88</v>
      </c>
      <c r="D70" s="825"/>
      <c r="E70" s="1595"/>
      <c r="F70" s="1595"/>
      <c r="G70" s="403"/>
      <c r="H70" s="308"/>
      <c r="J70" s="310"/>
      <c r="K70" s="310"/>
    </row>
    <row r="71" spans="2:13" s="297" customFormat="1" ht="18" customHeight="1">
      <c r="B71" s="460" t="s">
        <v>193</v>
      </c>
      <c r="C71" s="461">
        <f>C69</f>
        <v>236879.24999999997</v>
      </c>
      <c r="D71" s="825"/>
      <c r="E71" s="1587" t="s">
        <v>639</v>
      </c>
      <c r="F71" s="1587"/>
      <c r="G71" s="465">
        <f>G69</f>
        <v>6738.11</v>
      </c>
      <c r="H71" s="308"/>
      <c r="J71" s="310"/>
      <c r="K71" s="310"/>
    </row>
    <row r="72" spans="2:13" s="297" customFormat="1" ht="14.25">
      <c r="B72" s="312" t="s">
        <v>1016</v>
      </c>
      <c r="C72" s="300">
        <f>L48</f>
        <v>54944.11</v>
      </c>
      <c r="D72" s="825"/>
      <c r="E72" s="1587" t="s">
        <v>760</v>
      </c>
      <c r="F72" s="1587"/>
      <c r="G72" s="777">
        <f>G60+G63++G65+G68+G71</f>
        <v>356179.82999999996</v>
      </c>
      <c r="H72" s="308"/>
      <c r="J72" s="310"/>
      <c r="K72" s="310"/>
    </row>
    <row r="73" spans="2:13" s="297" customFormat="1" ht="14.25" hidden="1">
      <c r="B73" s="301"/>
      <c r="C73" s="300"/>
      <c r="D73" s="825"/>
      <c r="E73" s="417"/>
      <c r="F73" s="417"/>
      <c r="G73" s="417"/>
      <c r="H73" s="417"/>
      <c r="I73" s="310"/>
      <c r="J73" s="310"/>
      <c r="K73" s="310"/>
    </row>
    <row r="74" spans="2:13" s="297" customFormat="1" ht="14.25" hidden="1">
      <c r="B74" s="313"/>
      <c r="C74" s="300"/>
      <c r="D74" s="825"/>
      <c r="E74" s="417"/>
      <c r="F74" s="417"/>
      <c r="G74" s="417"/>
      <c r="H74" s="417"/>
      <c r="I74" s="310"/>
      <c r="J74" s="310"/>
      <c r="K74" s="310"/>
    </row>
    <row r="75" spans="2:13" s="297" customFormat="1" ht="15" thickBot="1">
      <c r="B75" s="462" t="s">
        <v>193</v>
      </c>
      <c r="C75" s="458">
        <f>SUM(C72:C74)</f>
        <v>54944.11</v>
      </c>
      <c r="D75" s="825"/>
      <c r="E75" s="1573"/>
      <c r="F75" s="1573"/>
      <c r="G75" s="417"/>
      <c r="H75" s="417"/>
      <c r="I75" s="310"/>
      <c r="J75" s="308"/>
      <c r="K75" s="308"/>
    </row>
    <row r="76" spans="2:13" s="297" customFormat="1" ht="21.75" customHeight="1" thickTop="1">
      <c r="B76" s="301" t="s">
        <v>703</v>
      </c>
      <c r="C76" s="300">
        <f>I12</f>
        <v>637.87</v>
      </c>
      <c r="D76" s="827"/>
      <c r="E76" s="404"/>
      <c r="F76" s="404" t="s">
        <v>423</v>
      </c>
      <c r="G76" s="404"/>
      <c r="H76" s="404"/>
      <c r="I76" s="404"/>
      <c r="J76" s="402"/>
      <c r="K76" s="314"/>
    </row>
    <row r="77" spans="2:13" s="297" customFormat="1" ht="21.75" customHeight="1" thickBot="1">
      <c r="B77" s="1291" t="s">
        <v>193</v>
      </c>
      <c r="C77" s="458">
        <f>C76</f>
        <v>637.87</v>
      </c>
      <c r="D77" s="827"/>
      <c r="E77" s="404"/>
      <c r="F77" s="404"/>
      <c r="G77" s="404"/>
      <c r="H77" s="404"/>
      <c r="I77" s="404"/>
      <c r="J77" s="402"/>
      <c r="K77" s="314"/>
    </row>
    <row r="78" spans="2:13" s="297" customFormat="1" ht="15" hidden="1" thickTop="1">
      <c r="B78" s="301"/>
      <c r="C78" s="300"/>
      <c r="D78" s="827"/>
      <c r="E78" s="404"/>
      <c r="F78" s="404"/>
      <c r="G78" s="404"/>
      <c r="H78" s="404"/>
      <c r="I78" s="404"/>
      <c r="J78" s="313"/>
      <c r="K78" s="314"/>
    </row>
    <row r="79" spans="2:13" s="297" customFormat="1" ht="28.5" hidden="1">
      <c r="B79" s="301" t="s">
        <v>673</v>
      </c>
      <c r="C79" s="302">
        <f>K19</f>
        <v>0</v>
      </c>
      <c r="D79" s="825"/>
      <c r="E79" s="404"/>
      <c r="F79" s="404"/>
      <c r="G79" s="404"/>
      <c r="H79" s="404"/>
      <c r="I79" s="404"/>
      <c r="J79" s="402"/>
      <c r="K79" s="314"/>
    </row>
    <row r="80" spans="2:13" s="297" customFormat="1" ht="15" hidden="1" thickBot="1">
      <c r="B80" s="462" t="s">
        <v>193</v>
      </c>
      <c r="C80" s="458"/>
      <c r="D80" s="825"/>
      <c r="E80" s="404"/>
      <c r="F80" s="404"/>
      <c r="G80" s="404"/>
      <c r="H80" s="404"/>
      <c r="I80" s="404"/>
      <c r="J80" s="402"/>
      <c r="K80" s="314"/>
    </row>
    <row r="81" spans="1:14" s="297" customFormat="1" ht="15" hidden="1" customHeight="1" thickTop="1">
      <c r="B81" s="311" t="s">
        <v>196</v>
      </c>
      <c r="C81" s="303"/>
      <c r="D81" s="825"/>
      <c r="E81" s="404"/>
      <c r="F81" s="404"/>
      <c r="G81" s="404"/>
      <c r="H81" s="404"/>
      <c r="I81" s="404"/>
      <c r="J81" s="402"/>
      <c r="K81" s="308"/>
    </row>
    <row r="82" spans="1:14" s="297" customFormat="1" ht="19.5" hidden="1" customHeight="1">
      <c r="B82" s="306" t="s">
        <v>857</v>
      </c>
      <c r="C82" s="300"/>
      <c r="D82" s="825"/>
      <c r="I82" s="308"/>
      <c r="J82" s="308"/>
      <c r="K82" s="308"/>
    </row>
    <row r="83" spans="1:14" s="297" customFormat="1" ht="20.25" hidden="1" customHeight="1">
      <c r="B83" s="315"/>
      <c r="C83" s="302"/>
      <c r="D83" s="825"/>
      <c r="I83" s="308"/>
      <c r="J83" s="308"/>
      <c r="K83" s="308"/>
    </row>
    <row r="84" spans="1:14" s="297" customFormat="1" ht="32.25" hidden="1" customHeight="1" thickTop="1">
      <c r="B84" s="439" t="s">
        <v>193</v>
      </c>
      <c r="C84" s="440">
        <f>SUM(C82:C83)</f>
        <v>0</v>
      </c>
      <c r="D84" s="825"/>
      <c r="I84" s="308"/>
      <c r="J84" s="308"/>
      <c r="K84" s="308"/>
    </row>
    <row r="85" spans="1:14" s="297" customFormat="1" ht="21" hidden="1" customHeight="1">
      <c r="B85" s="307"/>
      <c r="C85" s="300"/>
      <c r="D85" s="825"/>
      <c r="I85" s="308"/>
      <c r="J85" s="308"/>
      <c r="K85" s="308"/>
    </row>
    <row r="86" spans="1:14" s="297" customFormat="1" ht="15" hidden="1" customHeight="1">
      <c r="B86" s="312"/>
      <c r="C86" s="300"/>
      <c r="D86" s="825"/>
      <c r="I86" s="308"/>
      <c r="J86" s="308"/>
      <c r="K86" s="308"/>
    </row>
    <row r="87" spans="1:14" s="297" customFormat="1" ht="15" hidden="1" customHeight="1">
      <c r="B87" s="312"/>
      <c r="C87" s="300"/>
      <c r="D87" s="825"/>
      <c r="I87" s="308"/>
      <c r="J87" s="308"/>
      <c r="K87" s="308"/>
    </row>
    <row r="88" spans="1:14" s="297" customFormat="1" ht="23.25" hidden="1" customHeight="1" thickBot="1">
      <c r="B88" s="315"/>
      <c r="C88" s="300"/>
      <c r="D88" s="825"/>
      <c r="I88" s="308"/>
      <c r="J88" s="308"/>
      <c r="K88" s="308"/>
    </row>
    <row r="89" spans="1:14" s="297" customFormat="1" ht="21.75" hidden="1" customHeight="1" thickBot="1">
      <c r="B89" s="316" t="s">
        <v>193</v>
      </c>
      <c r="C89" s="304"/>
      <c r="D89" s="825"/>
      <c r="I89" s="308"/>
      <c r="J89" s="308"/>
      <c r="K89" s="308"/>
    </row>
    <row r="90" spans="1:14" s="8" customFormat="1" ht="21" thickTop="1" thickBot="1">
      <c r="A90" s="13"/>
      <c r="B90" s="463" t="s">
        <v>759</v>
      </c>
      <c r="C90" s="464">
        <f>C61+C65+C67+C70+C71+C75+C77+C80+C84</f>
        <v>1023833.4219845938</v>
      </c>
      <c r="D90" s="828"/>
      <c r="E90" s="13"/>
      <c r="F90" s="407"/>
      <c r="G90" s="407"/>
      <c r="H90" s="407"/>
      <c r="I90" s="14"/>
      <c r="J90" s="14"/>
      <c r="K90" s="14"/>
      <c r="L90" s="13"/>
      <c r="M90" s="13"/>
    </row>
    <row r="91" spans="1:14" ht="15" customHeight="1">
      <c r="A91" s="115"/>
      <c r="B91" s="115"/>
      <c r="C91" s="115"/>
      <c r="D91" s="115"/>
      <c r="E91" s="115"/>
      <c r="F91" s="115"/>
      <c r="G91" s="115"/>
      <c r="H91" s="115"/>
      <c r="I91" s="115"/>
      <c r="J91" s="115"/>
      <c r="K91" s="115"/>
      <c r="L91" s="115"/>
      <c r="M91" s="115"/>
      <c r="N91" s="115"/>
    </row>
    <row r="92" spans="1:14" ht="15" customHeight="1">
      <c r="A92" s="115"/>
      <c r="B92" s="115"/>
      <c r="C92" s="115"/>
      <c r="D92" s="115"/>
      <c r="E92" s="115"/>
      <c r="F92" s="115"/>
      <c r="G92" s="115"/>
      <c r="H92" s="115"/>
      <c r="I92" s="115"/>
      <c r="J92" s="115"/>
      <c r="K92" s="115"/>
      <c r="L92" s="115"/>
      <c r="M92" s="115"/>
      <c r="N92" s="115"/>
    </row>
    <row r="93" spans="1:14" ht="15" customHeight="1">
      <c r="A93" s="115"/>
      <c r="B93" s="115" t="s">
        <v>900</v>
      </c>
      <c r="C93" s="115"/>
      <c r="D93" s="115"/>
      <c r="E93" s="115"/>
      <c r="F93" s="115"/>
      <c r="G93" s="115"/>
      <c r="H93" s="115"/>
      <c r="I93" s="115"/>
      <c r="J93" s="115"/>
      <c r="K93" s="115"/>
      <c r="L93" s="115"/>
      <c r="M93" s="115"/>
      <c r="N93" s="115"/>
    </row>
    <row r="94" spans="1:14" ht="15" customHeight="1">
      <c r="A94" s="115"/>
      <c r="B94" s="115"/>
      <c r="C94" s="115"/>
      <c r="D94" s="115"/>
      <c r="E94" s="115"/>
      <c r="F94" s="115"/>
      <c r="G94" s="115"/>
      <c r="H94" s="115"/>
      <c r="I94" s="115"/>
      <c r="J94" s="115"/>
      <c r="K94" s="115"/>
      <c r="L94" s="115"/>
      <c r="M94" s="115"/>
      <c r="N94" s="115"/>
    </row>
    <row r="95" spans="1:14" ht="15" customHeight="1">
      <c r="E95" s="11"/>
      <c r="F95" s="11"/>
      <c r="G95" s="11"/>
      <c r="H95" s="11"/>
      <c r="I95" s="11"/>
      <c r="J95" s="11"/>
      <c r="K95" s="11"/>
      <c r="L95" s="11"/>
      <c r="M95" s="11"/>
    </row>
    <row r="96" spans="1:14" ht="15" customHeight="1">
      <c r="A96" s="11"/>
      <c r="B96" s="11"/>
      <c r="C96" s="11"/>
      <c r="E96" s="11"/>
      <c r="F96" s="11"/>
      <c r="G96" s="11"/>
      <c r="H96" s="11"/>
      <c r="I96" s="11"/>
      <c r="J96" s="11"/>
      <c r="K96" s="11"/>
      <c r="L96" s="11"/>
      <c r="M96" s="11"/>
    </row>
    <row r="97" spans="1:15" ht="15" customHeight="1">
      <c r="A97" s="11"/>
      <c r="B97" s="1572"/>
      <c r="C97" s="1572"/>
      <c r="D97" s="1572"/>
      <c r="E97" s="1572"/>
      <c r="F97" s="1572"/>
      <c r="G97" s="1572"/>
      <c r="H97" s="1572"/>
      <c r="I97" s="1572"/>
      <c r="J97" s="1572"/>
      <c r="K97" s="1572"/>
      <c r="L97" s="1572"/>
      <c r="M97" s="1572"/>
      <c r="N97" s="1572"/>
      <c r="O97" s="1572"/>
    </row>
    <row r="98" spans="1:15" ht="15" customHeight="1">
      <c r="A98" s="11"/>
      <c r="B98" s="1572"/>
      <c r="C98" s="1572"/>
      <c r="D98" s="1572"/>
      <c r="E98" s="1572"/>
      <c r="F98" s="1572"/>
      <c r="G98" s="1572"/>
      <c r="H98" s="1572"/>
      <c r="I98" s="1572"/>
      <c r="J98" s="1572"/>
      <c r="K98" s="1572"/>
      <c r="L98" s="1572"/>
      <c r="M98" s="1572"/>
      <c r="N98" s="1572"/>
      <c r="O98" s="1572"/>
    </row>
    <row r="99" spans="1:15" ht="15" customHeight="1">
      <c r="A99" s="11"/>
      <c r="B99" s="11"/>
      <c r="C99" s="11"/>
      <c r="E99" s="11"/>
      <c r="F99" s="11"/>
      <c r="G99" s="11"/>
      <c r="H99" s="11"/>
      <c r="I99" s="11"/>
      <c r="J99" s="11"/>
      <c r="K99" s="11"/>
      <c r="L99" s="11"/>
      <c r="M99" s="11"/>
    </row>
    <row r="100" spans="1:15" ht="15" customHeight="1">
      <c r="A100" s="11"/>
      <c r="B100" s="11"/>
      <c r="C100" s="11"/>
      <c r="E100" s="11"/>
      <c r="F100" s="11"/>
      <c r="G100" s="11"/>
      <c r="H100" s="11"/>
      <c r="I100" s="11"/>
      <c r="J100" s="11"/>
      <c r="K100" s="11"/>
      <c r="L100" s="11"/>
      <c r="M100" s="11"/>
    </row>
    <row r="101" spans="1:15" ht="15" customHeight="1">
      <c r="A101" s="11"/>
      <c r="B101" s="11"/>
      <c r="C101" s="11"/>
      <c r="E101" s="11"/>
      <c r="F101" s="11"/>
      <c r="G101" s="11"/>
      <c r="H101" s="11"/>
      <c r="I101" s="11"/>
      <c r="J101" s="11"/>
      <c r="K101" s="11"/>
      <c r="L101" s="11"/>
      <c r="M101" s="11"/>
    </row>
    <row r="102" spans="1:15" ht="15" customHeight="1">
      <c r="A102" s="11"/>
      <c r="B102" s="11"/>
      <c r="C102" s="11"/>
      <c r="E102" s="11"/>
      <c r="F102" s="11"/>
      <c r="G102" s="11"/>
      <c r="H102" s="11"/>
      <c r="I102" s="11"/>
      <c r="J102" s="11"/>
      <c r="K102" s="11"/>
      <c r="L102" s="11"/>
      <c r="M102" s="11"/>
    </row>
    <row r="103" spans="1:15" ht="15" customHeight="1">
      <c r="A103" s="11"/>
      <c r="B103" s="11"/>
      <c r="C103" s="11"/>
      <c r="E103" s="11"/>
      <c r="F103" s="11"/>
      <c r="G103" s="11"/>
      <c r="H103" s="11"/>
      <c r="I103" s="11"/>
      <c r="J103" s="11"/>
      <c r="K103" s="11"/>
      <c r="L103" s="11"/>
      <c r="M103" s="11"/>
    </row>
    <row r="104" spans="1:15" ht="15" customHeight="1">
      <c r="A104" s="11"/>
      <c r="B104" s="11"/>
      <c r="C104" s="11"/>
      <c r="E104" s="11"/>
      <c r="F104" s="11"/>
      <c r="G104" s="11"/>
      <c r="H104" s="11"/>
      <c r="I104" s="11"/>
      <c r="J104" s="11"/>
      <c r="K104" s="11"/>
      <c r="L104" s="11"/>
      <c r="M104" s="11"/>
    </row>
    <row r="105" spans="1:15" ht="15" customHeight="1">
      <c r="A105" s="11"/>
      <c r="B105" s="11"/>
      <c r="C105" s="11"/>
      <c r="E105" s="11"/>
      <c r="F105" s="11"/>
      <c r="G105" s="11"/>
      <c r="H105" s="11"/>
      <c r="I105" s="11"/>
      <c r="J105" s="11"/>
      <c r="K105" s="11"/>
      <c r="L105" s="11"/>
      <c r="M105" s="11"/>
    </row>
    <row r="106" spans="1:15" ht="15" customHeight="1">
      <c r="A106" s="11"/>
      <c r="B106" s="11"/>
      <c r="C106" s="11"/>
      <c r="E106" s="11"/>
      <c r="F106" s="11"/>
      <c r="G106" s="11"/>
      <c r="H106" s="11"/>
      <c r="I106" s="11"/>
      <c r="J106" s="11"/>
      <c r="K106" s="11"/>
      <c r="L106" s="11"/>
      <c r="M106" s="11"/>
    </row>
    <row r="107" spans="1:15" ht="15" customHeight="1">
      <c r="A107" s="11"/>
      <c r="B107" s="11"/>
      <c r="C107" s="11"/>
      <c r="E107" s="11"/>
      <c r="F107" s="11"/>
      <c r="G107" s="11"/>
      <c r="H107" s="11"/>
      <c r="I107" s="11"/>
      <c r="J107" s="11"/>
      <c r="K107" s="11"/>
      <c r="L107" s="11"/>
      <c r="M107" s="11"/>
    </row>
    <row r="108" spans="1:15" ht="15" customHeight="1">
      <c r="A108" s="11"/>
      <c r="B108" s="11"/>
      <c r="C108" s="11"/>
      <c r="E108" s="11"/>
      <c r="F108" s="11"/>
      <c r="G108" s="11"/>
      <c r="H108" s="11"/>
      <c r="I108" s="11"/>
      <c r="J108" s="11"/>
      <c r="K108" s="11"/>
      <c r="L108" s="11"/>
      <c r="M108" s="11"/>
    </row>
    <row r="109" spans="1:15" ht="15" customHeight="1">
      <c r="A109" s="11"/>
      <c r="B109" s="11"/>
      <c r="C109" s="11"/>
      <c r="E109" s="11"/>
      <c r="F109" s="11"/>
      <c r="G109" s="11"/>
      <c r="H109" s="11"/>
      <c r="I109" s="11"/>
      <c r="J109" s="11"/>
      <c r="K109" s="11"/>
      <c r="L109" s="11"/>
      <c r="M109" s="11"/>
    </row>
    <row r="110" spans="1:15" ht="15" customHeight="1">
      <c r="A110" s="11"/>
      <c r="B110" s="11"/>
      <c r="C110" s="11"/>
      <c r="E110" s="11"/>
      <c r="F110" s="11"/>
      <c r="G110" s="11"/>
      <c r="H110" s="11"/>
      <c r="I110" s="11"/>
      <c r="J110" s="11"/>
      <c r="K110" s="11"/>
      <c r="L110" s="11"/>
      <c r="M110" s="11"/>
    </row>
    <row r="111" spans="1:15" ht="15" customHeight="1">
      <c r="A111" s="11"/>
      <c r="B111" s="11"/>
      <c r="C111" s="11"/>
      <c r="E111" s="11"/>
      <c r="F111" s="11"/>
      <c r="G111" s="11"/>
      <c r="H111" s="11"/>
      <c r="I111" s="11"/>
      <c r="J111" s="11"/>
      <c r="K111" s="11"/>
      <c r="L111" s="11"/>
      <c r="M111" s="11"/>
    </row>
    <row r="112" spans="1:15" ht="15" customHeight="1">
      <c r="A112" s="11"/>
      <c r="B112" s="11"/>
      <c r="C112" s="11"/>
      <c r="E112" s="11"/>
      <c r="F112" s="11"/>
      <c r="G112" s="11"/>
      <c r="H112" s="11"/>
      <c r="I112" s="11"/>
      <c r="J112" s="11"/>
      <c r="K112" s="11"/>
      <c r="L112" s="11"/>
      <c r="M112" s="11"/>
    </row>
    <row r="113" spans="1:13" ht="15" customHeight="1">
      <c r="A113" s="11"/>
      <c r="B113" s="11"/>
      <c r="C113" s="11"/>
      <c r="E113" s="11"/>
      <c r="F113" s="11"/>
      <c r="G113" s="11"/>
      <c r="H113" s="11"/>
      <c r="I113" s="11"/>
      <c r="J113" s="11"/>
      <c r="K113" s="11"/>
      <c r="L113" s="11"/>
      <c r="M113" s="11"/>
    </row>
    <row r="114" spans="1:13" ht="15" customHeight="1">
      <c r="A114" s="11"/>
      <c r="B114" s="11"/>
      <c r="C114" s="11"/>
      <c r="E114" s="11"/>
      <c r="F114" s="11"/>
      <c r="G114" s="11"/>
      <c r="H114" s="11"/>
      <c r="I114" s="11"/>
      <c r="J114" s="11"/>
      <c r="K114" s="11"/>
      <c r="L114" s="11"/>
      <c r="M114" s="11"/>
    </row>
    <row r="115" spans="1:13" ht="15" customHeight="1">
      <c r="A115" s="11"/>
      <c r="B115" s="11"/>
      <c r="C115" s="11"/>
      <c r="E115" s="11"/>
      <c r="F115" s="11"/>
      <c r="G115" s="11"/>
      <c r="H115" s="11"/>
      <c r="I115" s="11"/>
      <c r="J115" s="11"/>
      <c r="K115" s="11"/>
      <c r="L115" s="11"/>
      <c r="M115" s="11"/>
    </row>
    <row r="116" spans="1:13" ht="15" customHeight="1">
      <c r="A116" s="11"/>
      <c r="B116" s="11"/>
      <c r="C116" s="11"/>
      <c r="E116" s="11"/>
      <c r="F116" s="11"/>
      <c r="G116" s="11"/>
      <c r="H116" s="11"/>
      <c r="I116" s="11"/>
      <c r="J116" s="11"/>
      <c r="K116" s="11"/>
      <c r="L116" s="11"/>
      <c r="M116" s="11"/>
    </row>
    <row r="117" spans="1:13" ht="15" customHeight="1">
      <c r="A117" s="11"/>
      <c r="B117" s="11"/>
      <c r="C117" s="11"/>
      <c r="E117" s="11"/>
      <c r="F117" s="11"/>
      <c r="G117" s="11"/>
      <c r="H117" s="11"/>
      <c r="I117" s="11"/>
      <c r="J117" s="11"/>
      <c r="K117" s="11"/>
      <c r="L117" s="11"/>
      <c r="M117" s="11"/>
    </row>
    <row r="118" spans="1:13" ht="15" customHeight="1">
      <c r="A118" s="11"/>
      <c r="B118" s="11"/>
      <c r="C118" s="11"/>
      <c r="E118" s="11"/>
      <c r="F118" s="11"/>
      <c r="G118" s="11"/>
      <c r="H118" s="11"/>
      <c r="I118" s="11"/>
      <c r="J118" s="11"/>
      <c r="K118" s="11"/>
      <c r="L118" s="11"/>
      <c r="M118" s="11"/>
    </row>
    <row r="119" spans="1:13" ht="15" customHeight="1">
      <c r="A119" s="11"/>
      <c r="B119" s="11"/>
      <c r="C119" s="11"/>
      <c r="E119" s="11"/>
      <c r="F119" s="11"/>
      <c r="G119" s="11"/>
      <c r="H119" s="11"/>
      <c r="I119" s="11"/>
      <c r="J119" s="11"/>
      <c r="K119" s="11"/>
      <c r="L119" s="11"/>
      <c r="M119" s="11"/>
    </row>
    <row r="120" spans="1:13" ht="15" customHeight="1">
      <c r="A120" s="11"/>
      <c r="B120" s="11"/>
      <c r="C120" s="11"/>
      <c r="E120" s="11"/>
      <c r="F120" s="11"/>
      <c r="G120" s="11"/>
      <c r="H120" s="11"/>
      <c r="I120" s="11"/>
      <c r="J120" s="11"/>
      <c r="K120" s="11"/>
      <c r="L120" s="11"/>
      <c r="M120" s="11"/>
    </row>
    <row r="121" spans="1:13" ht="15" customHeight="1">
      <c r="A121" s="11"/>
      <c r="B121" s="11"/>
      <c r="C121" s="11"/>
      <c r="E121" s="11"/>
      <c r="F121" s="11"/>
      <c r="G121" s="11"/>
      <c r="H121" s="11"/>
      <c r="I121" s="11"/>
      <c r="J121" s="11"/>
      <c r="K121" s="11"/>
      <c r="L121" s="11"/>
      <c r="M121" s="11"/>
    </row>
    <row r="122" spans="1:13" ht="15" customHeight="1">
      <c r="A122" s="11"/>
      <c r="B122" s="11"/>
      <c r="C122" s="11"/>
      <c r="E122" s="11"/>
      <c r="F122" s="11"/>
      <c r="G122" s="11"/>
      <c r="H122" s="11"/>
      <c r="I122" s="11"/>
      <c r="J122" s="11"/>
      <c r="K122" s="11"/>
      <c r="L122" s="11"/>
      <c r="M122" s="11"/>
    </row>
    <row r="123" spans="1:13" ht="15" customHeight="1">
      <c r="A123" s="11"/>
      <c r="B123" s="11"/>
      <c r="C123" s="11"/>
      <c r="E123" s="11"/>
      <c r="F123" s="11"/>
      <c r="G123" s="11"/>
      <c r="H123" s="11"/>
      <c r="I123" s="11"/>
      <c r="J123" s="11"/>
      <c r="K123" s="11"/>
      <c r="L123" s="11"/>
      <c r="M123" s="11"/>
    </row>
    <row r="124" spans="1:13" ht="15" customHeight="1">
      <c r="A124" s="11"/>
      <c r="B124" s="11"/>
      <c r="C124" s="11"/>
      <c r="E124" s="11"/>
      <c r="F124" s="11"/>
      <c r="G124" s="11"/>
      <c r="H124" s="11"/>
      <c r="I124" s="11"/>
      <c r="J124" s="11"/>
      <c r="K124" s="11"/>
      <c r="L124" s="11"/>
      <c r="M124" s="11"/>
    </row>
    <row r="125" spans="1:13" ht="15" customHeight="1">
      <c r="A125" s="11"/>
      <c r="B125" s="11"/>
      <c r="C125" s="11"/>
      <c r="E125" s="11"/>
      <c r="F125" s="11"/>
      <c r="G125" s="11"/>
      <c r="H125" s="11"/>
      <c r="I125" s="11"/>
      <c r="J125" s="11"/>
      <c r="K125" s="11"/>
      <c r="L125" s="11"/>
      <c r="M125" s="11"/>
    </row>
    <row r="126" spans="1:13" ht="15" customHeight="1">
      <c r="A126" s="11"/>
      <c r="B126" s="11"/>
      <c r="C126" s="11"/>
      <c r="E126" s="11"/>
      <c r="F126" s="11"/>
      <c r="G126" s="11"/>
      <c r="H126" s="11"/>
      <c r="I126" s="11"/>
      <c r="J126" s="11"/>
      <c r="K126" s="11"/>
      <c r="L126" s="11"/>
      <c r="M126" s="11"/>
    </row>
    <row r="127" spans="1:13" ht="15" customHeight="1">
      <c r="A127" s="11"/>
      <c r="B127" s="11"/>
      <c r="C127" s="11"/>
      <c r="E127" s="11"/>
      <c r="F127" s="11"/>
      <c r="G127" s="11"/>
      <c r="H127" s="11"/>
      <c r="I127" s="11"/>
      <c r="J127" s="11"/>
      <c r="K127" s="11"/>
      <c r="L127" s="11"/>
      <c r="M127" s="11"/>
    </row>
    <row r="128" spans="1:13" ht="15" customHeight="1">
      <c r="A128" s="11"/>
      <c r="B128" s="11"/>
      <c r="C128" s="11"/>
      <c r="E128" s="11"/>
      <c r="F128" s="11"/>
      <c r="G128" s="11"/>
      <c r="H128" s="11"/>
      <c r="I128" s="11"/>
      <c r="J128" s="11"/>
      <c r="K128" s="11"/>
      <c r="L128" s="11"/>
      <c r="M128" s="11"/>
    </row>
    <row r="129" spans="1:13" ht="15" customHeight="1">
      <c r="A129" s="11"/>
      <c r="B129" s="11"/>
      <c r="C129" s="11"/>
      <c r="E129" s="11"/>
      <c r="F129" s="11"/>
      <c r="G129" s="11"/>
      <c r="H129" s="11"/>
      <c r="I129" s="11"/>
      <c r="J129" s="11"/>
      <c r="K129" s="11"/>
      <c r="L129" s="11"/>
      <c r="M129" s="11"/>
    </row>
    <row r="130" spans="1:13" ht="15" customHeight="1">
      <c r="A130" s="11"/>
      <c r="B130" s="11"/>
      <c r="C130" s="11"/>
      <c r="E130" s="11"/>
      <c r="F130" s="11"/>
      <c r="G130" s="11"/>
      <c r="H130" s="11"/>
      <c r="I130" s="11"/>
      <c r="J130" s="11"/>
      <c r="K130" s="11"/>
      <c r="L130" s="11"/>
      <c r="M130" s="11"/>
    </row>
    <row r="131" spans="1:13" ht="15" customHeight="1">
      <c r="A131" s="11"/>
      <c r="B131" s="11"/>
      <c r="C131" s="11"/>
      <c r="E131" s="11"/>
      <c r="F131" s="11"/>
      <c r="G131" s="11"/>
      <c r="H131" s="11"/>
      <c r="I131" s="11"/>
      <c r="J131" s="11"/>
      <c r="K131" s="11"/>
      <c r="L131" s="11"/>
      <c r="M131" s="11"/>
    </row>
    <row r="132" spans="1:13" ht="15" customHeight="1">
      <c r="A132" s="11"/>
      <c r="B132" s="11"/>
      <c r="C132" s="11"/>
      <c r="E132" s="11"/>
      <c r="F132" s="11"/>
      <c r="G132" s="11"/>
      <c r="H132" s="11"/>
      <c r="I132" s="11"/>
      <c r="J132" s="11"/>
      <c r="K132" s="11"/>
      <c r="L132" s="11"/>
      <c r="M132" s="11"/>
    </row>
    <row r="133" spans="1:13" ht="15" customHeight="1">
      <c r="A133" s="11"/>
      <c r="B133" s="11"/>
      <c r="C133" s="11"/>
      <c r="E133" s="11"/>
      <c r="F133" s="11"/>
      <c r="G133" s="11"/>
      <c r="H133" s="11"/>
      <c r="I133" s="11"/>
      <c r="J133" s="11"/>
      <c r="K133" s="11"/>
      <c r="L133" s="11"/>
      <c r="M133" s="11"/>
    </row>
    <row r="134" spans="1:13" ht="15" customHeight="1">
      <c r="A134" s="11"/>
      <c r="B134" s="11"/>
      <c r="C134" s="11"/>
      <c r="E134" s="11"/>
      <c r="F134" s="11"/>
      <c r="G134" s="11"/>
      <c r="H134" s="11"/>
      <c r="I134" s="11"/>
      <c r="J134" s="11"/>
      <c r="K134" s="11"/>
      <c r="L134" s="11"/>
      <c r="M134" s="11"/>
    </row>
    <row r="135" spans="1:13" ht="15" customHeight="1">
      <c r="A135" s="11"/>
      <c r="B135" s="11"/>
      <c r="C135" s="11"/>
      <c r="E135" s="11"/>
      <c r="F135" s="11"/>
      <c r="G135" s="11"/>
      <c r="H135" s="11"/>
      <c r="I135" s="11"/>
      <c r="J135" s="11"/>
      <c r="K135" s="11"/>
      <c r="L135" s="11"/>
      <c r="M135" s="11"/>
    </row>
    <row r="136" spans="1:13" ht="15" customHeight="1">
      <c r="A136" s="11"/>
      <c r="B136" s="11"/>
      <c r="C136" s="11"/>
      <c r="E136" s="11"/>
      <c r="F136" s="11"/>
      <c r="G136" s="11"/>
      <c r="H136" s="11"/>
      <c r="I136" s="11"/>
      <c r="J136" s="11"/>
      <c r="K136" s="11"/>
      <c r="L136" s="11"/>
      <c r="M136" s="11"/>
    </row>
    <row r="137" spans="1:13" ht="15" customHeight="1">
      <c r="A137" s="11"/>
      <c r="B137" s="11"/>
      <c r="C137" s="11"/>
      <c r="E137" s="11"/>
      <c r="F137" s="11"/>
      <c r="G137" s="11"/>
      <c r="H137" s="11"/>
      <c r="I137" s="11"/>
      <c r="J137" s="11"/>
      <c r="K137" s="11"/>
      <c r="L137" s="11"/>
      <c r="M137" s="11"/>
    </row>
    <row r="138" spans="1:13" ht="15" customHeight="1">
      <c r="A138" s="11"/>
      <c r="B138" s="11"/>
      <c r="C138" s="11"/>
      <c r="E138" s="11"/>
      <c r="F138" s="11"/>
      <c r="G138" s="11"/>
      <c r="H138" s="11"/>
      <c r="I138" s="11"/>
      <c r="J138" s="11"/>
      <c r="K138" s="11"/>
      <c r="L138" s="11"/>
      <c r="M138" s="11"/>
    </row>
    <row r="139" spans="1:13" ht="15" customHeight="1">
      <c r="A139" s="11"/>
      <c r="B139" s="11"/>
      <c r="C139" s="11"/>
      <c r="E139" s="11"/>
      <c r="F139" s="11"/>
      <c r="G139" s="11"/>
      <c r="H139" s="11"/>
      <c r="I139" s="11"/>
      <c r="J139" s="11"/>
      <c r="K139" s="11"/>
      <c r="L139" s="11"/>
      <c r="M139" s="11"/>
    </row>
    <row r="140" spans="1:13" ht="15" customHeight="1">
      <c r="A140" s="11"/>
      <c r="B140" s="11"/>
      <c r="C140" s="11"/>
      <c r="E140" s="11"/>
      <c r="F140" s="11"/>
      <c r="G140" s="11"/>
      <c r="H140" s="11"/>
      <c r="I140" s="11"/>
      <c r="J140" s="11"/>
      <c r="K140" s="11"/>
      <c r="L140" s="11"/>
      <c r="M140" s="11"/>
    </row>
    <row r="141" spans="1:13" ht="15" customHeight="1">
      <c r="A141" s="11"/>
      <c r="B141" s="11"/>
      <c r="C141" s="11"/>
      <c r="E141" s="11"/>
      <c r="F141" s="11"/>
      <c r="G141" s="11"/>
      <c r="H141" s="11"/>
      <c r="I141" s="11"/>
      <c r="J141" s="11"/>
      <c r="K141" s="11"/>
      <c r="L141" s="11"/>
      <c r="M141" s="11"/>
    </row>
    <row r="142" spans="1:13" ht="15" customHeight="1">
      <c r="A142" s="11"/>
      <c r="B142" s="11"/>
      <c r="C142" s="11"/>
      <c r="E142" s="11"/>
      <c r="F142" s="11"/>
      <c r="G142" s="11"/>
      <c r="H142" s="11"/>
      <c r="I142" s="11"/>
      <c r="J142" s="11"/>
      <c r="K142" s="11"/>
      <c r="L142" s="11"/>
      <c r="M142" s="11"/>
    </row>
    <row r="143" spans="1:13" ht="15" customHeight="1">
      <c r="A143" s="11"/>
      <c r="B143" s="11"/>
      <c r="C143" s="11"/>
      <c r="E143" s="11"/>
      <c r="F143" s="11"/>
      <c r="G143" s="11"/>
      <c r="H143" s="11"/>
      <c r="I143" s="11"/>
      <c r="J143" s="11"/>
      <c r="K143" s="11"/>
      <c r="L143" s="11"/>
      <c r="M143" s="11"/>
    </row>
    <row r="144" spans="1:13" ht="15" customHeight="1">
      <c r="A144" s="11"/>
      <c r="B144" s="11"/>
      <c r="C144" s="11"/>
      <c r="E144" s="11"/>
      <c r="F144" s="11"/>
      <c r="G144" s="11"/>
      <c r="H144" s="11"/>
      <c r="I144" s="11"/>
      <c r="J144" s="11"/>
      <c r="K144" s="11"/>
      <c r="L144" s="11"/>
      <c r="M144" s="11"/>
    </row>
    <row r="145" spans="1:13" ht="15" customHeight="1">
      <c r="A145" s="11"/>
      <c r="B145" s="11"/>
      <c r="C145" s="11"/>
      <c r="E145" s="11"/>
      <c r="F145" s="11"/>
      <c r="G145" s="11"/>
      <c r="H145" s="11"/>
      <c r="I145" s="11"/>
      <c r="J145" s="11"/>
      <c r="K145" s="11"/>
      <c r="L145" s="11"/>
      <c r="M145" s="11"/>
    </row>
    <row r="146" spans="1:13" ht="15" customHeight="1">
      <c r="A146" s="11"/>
      <c r="B146" s="11"/>
      <c r="C146" s="11"/>
      <c r="E146" s="11"/>
      <c r="F146" s="11"/>
      <c r="G146" s="11"/>
      <c r="H146" s="11"/>
      <c r="I146" s="11"/>
      <c r="J146" s="11"/>
      <c r="K146" s="11"/>
      <c r="L146" s="11"/>
      <c r="M146" s="11"/>
    </row>
    <row r="147" spans="1:13" ht="15" customHeight="1">
      <c r="A147" s="11"/>
      <c r="B147" s="11"/>
      <c r="C147" s="11"/>
      <c r="E147" s="11"/>
      <c r="F147" s="11"/>
      <c r="G147" s="11"/>
      <c r="H147" s="11"/>
      <c r="I147" s="11"/>
      <c r="J147" s="11"/>
      <c r="K147" s="11"/>
      <c r="L147" s="11"/>
      <c r="M147" s="11"/>
    </row>
    <row r="148" spans="1:13" ht="15" customHeight="1">
      <c r="A148" s="11"/>
      <c r="B148" s="11"/>
      <c r="C148" s="11"/>
      <c r="E148" s="11"/>
      <c r="F148" s="11"/>
      <c r="G148" s="11"/>
      <c r="H148" s="11"/>
      <c r="I148" s="11"/>
      <c r="J148" s="11"/>
      <c r="K148" s="11"/>
      <c r="L148" s="11"/>
      <c r="M148" s="11"/>
    </row>
    <row r="149" spans="1:13" ht="15" customHeight="1">
      <c r="A149" s="11"/>
      <c r="B149" s="11"/>
      <c r="C149" s="11"/>
      <c r="E149" s="11"/>
      <c r="F149" s="11"/>
      <c r="G149" s="11"/>
      <c r="H149" s="11"/>
      <c r="I149" s="11"/>
      <c r="J149" s="11"/>
      <c r="K149" s="11"/>
      <c r="L149" s="11"/>
      <c r="M149" s="11"/>
    </row>
    <row r="150" spans="1:13" ht="15" customHeight="1">
      <c r="A150" s="11"/>
      <c r="B150" s="11"/>
      <c r="C150" s="11"/>
      <c r="E150" s="11"/>
      <c r="F150" s="11"/>
      <c r="G150" s="11"/>
      <c r="H150" s="11"/>
      <c r="I150" s="11"/>
      <c r="J150" s="11"/>
      <c r="K150" s="11"/>
      <c r="L150" s="11"/>
      <c r="M150" s="11"/>
    </row>
    <row r="151" spans="1:13" ht="15" customHeight="1">
      <c r="A151" s="11"/>
      <c r="B151" s="11"/>
      <c r="C151" s="11"/>
      <c r="E151" s="11"/>
      <c r="F151" s="11"/>
      <c r="G151" s="11"/>
      <c r="H151" s="11"/>
      <c r="I151" s="11"/>
      <c r="J151" s="11"/>
      <c r="K151" s="11"/>
      <c r="L151" s="11"/>
      <c r="M151" s="11"/>
    </row>
    <row r="152" spans="1:13" ht="15" customHeight="1">
      <c r="A152" s="11"/>
      <c r="B152" s="11"/>
      <c r="C152" s="11"/>
      <c r="E152" s="11"/>
      <c r="F152" s="11"/>
      <c r="G152" s="11"/>
      <c r="H152" s="11"/>
      <c r="I152" s="11"/>
      <c r="J152" s="11"/>
      <c r="K152" s="11"/>
      <c r="L152" s="11"/>
      <c r="M152" s="11"/>
    </row>
    <row r="153" spans="1:13" ht="15" customHeight="1">
      <c r="A153" s="11"/>
      <c r="B153" s="11"/>
      <c r="C153" s="11"/>
      <c r="E153" s="11"/>
      <c r="F153" s="11"/>
      <c r="G153" s="11"/>
      <c r="H153" s="11"/>
      <c r="I153" s="11"/>
      <c r="J153" s="11"/>
      <c r="K153" s="11"/>
      <c r="L153" s="11"/>
      <c r="M153" s="11"/>
    </row>
    <row r="154" spans="1:13" ht="15" customHeight="1">
      <c r="A154" s="11"/>
      <c r="B154" s="11"/>
      <c r="C154" s="11"/>
      <c r="E154" s="11"/>
      <c r="F154" s="11"/>
      <c r="G154" s="11"/>
      <c r="H154" s="11"/>
      <c r="I154" s="11"/>
      <c r="J154" s="11"/>
      <c r="K154" s="11"/>
      <c r="L154" s="11"/>
      <c r="M154" s="11"/>
    </row>
    <row r="155" spans="1:13" ht="15" customHeight="1">
      <c r="A155" s="11"/>
      <c r="B155" s="11"/>
      <c r="C155" s="11"/>
      <c r="E155" s="11"/>
      <c r="F155" s="11"/>
      <c r="G155" s="11"/>
      <c r="H155" s="11"/>
      <c r="I155" s="11"/>
      <c r="J155" s="11"/>
      <c r="K155" s="11"/>
      <c r="L155" s="11"/>
      <c r="M155" s="11"/>
    </row>
    <row r="156" spans="1:13">
      <c r="A156" s="11"/>
      <c r="B156" s="11"/>
      <c r="C156" s="11"/>
      <c r="E156" s="11"/>
      <c r="F156" s="11"/>
      <c r="G156" s="11"/>
      <c r="H156" s="11"/>
      <c r="I156" s="11"/>
      <c r="J156" s="11"/>
      <c r="K156" s="11"/>
      <c r="L156" s="11"/>
      <c r="M156" s="11"/>
    </row>
    <row r="157" spans="1:13">
      <c r="A157" s="11"/>
      <c r="B157" s="11"/>
      <c r="C157" s="11"/>
      <c r="E157" s="11"/>
      <c r="F157" s="11"/>
      <c r="G157" s="11"/>
      <c r="H157" s="11"/>
      <c r="I157" s="11"/>
      <c r="J157" s="11"/>
      <c r="K157" s="11"/>
      <c r="L157" s="11"/>
      <c r="M157" s="11"/>
    </row>
    <row r="158" spans="1:13">
      <c r="A158" s="11"/>
      <c r="B158" s="11"/>
      <c r="C158" s="11"/>
      <c r="E158" s="11"/>
      <c r="F158" s="11"/>
      <c r="G158" s="11"/>
      <c r="H158" s="11"/>
      <c r="I158" s="11"/>
      <c r="J158" s="11"/>
      <c r="K158" s="11"/>
      <c r="L158" s="11"/>
      <c r="M158" s="11"/>
    </row>
    <row r="159" spans="1:13">
      <c r="A159" s="11"/>
      <c r="B159" s="11"/>
      <c r="C159" s="11"/>
      <c r="E159" s="11"/>
      <c r="F159" s="11"/>
      <c r="G159" s="11"/>
      <c r="H159" s="11"/>
      <c r="I159" s="11"/>
      <c r="J159" s="11"/>
      <c r="K159" s="11"/>
      <c r="L159" s="11"/>
      <c r="M159" s="11"/>
    </row>
    <row r="160" spans="1:13">
      <c r="A160" s="11"/>
      <c r="B160" s="11"/>
      <c r="C160" s="11"/>
      <c r="E160" s="11"/>
      <c r="F160" s="11"/>
      <c r="G160" s="11"/>
      <c r="H160" s="11"/>
      <c r="I160" s="11"/>
      <c r="J160" s="11"/>
      <c r="K160" s="11"/>
      <c r="L160" s="11"/>
      <c r="M160" s="11"/>
    </row>
    <row r="161" spans="1:13">
      <c r="A161" s="11"/>
      <c r="B161" s="11"/>
      <c r="C161" s="11"/>
      <c r="E161" s="11"/>
      <c r="F161" s="11"/>
      <c r="G161" s="11"/>
      <c r="H161" s="11"/>
      <c r="I161" s="11"/>
      <c r="J161" s="11"/>
      <c r="K161" s="11"/>
      <c r="L161" s="11"/>
      <c r="M161" s="11"/>
    </row>
    <row r="162" spans="1:13">
      <c r="A162" s="11"/>
      <c r="B162" s="11"/>
      <c r="C162" s="11"/>
      <c r="E162" s="11"/>
      <c r="F162" s="11"/>
      <c r="G162" s="11"/>
      <c r="H162" s="11"/>
      <c r="I162" s="11"/>
      <c r="J162" s="11"/>
      <c r="K162" s="11"/>
      <c r="L162" s="11"/>
      <c r="M162" s="11"/>
    </row>
    <row r="163" spans="1:13">
      <c r="A163" s="11"/>
      <c r="B163" s="11"/>
      <c r="C163" s="11"/>
      <c r="E163" s="11"/>
      <c r="F163" s="11"/>
      <c r="G163" s="11"/>
      <c r="H163" s="11"/>
      <c r="I163" s="11"/>
      <c r="J163" s="11"/>
      <c r="K163" s="11"/>
      <c r="L163" s="11"/>
      <c r="M163" s="11"/>
    </row>
    <row r="164" spans="1:13">
      <c r="A164" s="11"/>
      <c r="B164" s="11"/>
      <c r="C164" s="11"/>
      <c r="E164" s="11"/>
      <c r="F164" s="11"/>
      <c r="G164" s="11"/>
      <c r="H164" s="11"/>
      <c r="I164" s="11"/>
      <c r="J164" s="11"/>
      <c r="K164" s="11"/>
      <c r="L164" s="11"/>
      <c r="M164" s="11"/>
    </row>
    <row r="165" spans="1:13">
      <c r="A165" s="11"/>
      <c r="B165" s="11"/>
      <c r="C165" s="11"/>
      <c r="E165" s="11"/>
      <c r="F165" s="11"/>
      <c r="G165" s="11"/>
      <c r="H165" s="11"/>
      <c r="I165" s="11"/>
      <c r="J165" s="11"/>
      <c r="K165" s="11"/>
      <c r="L165" s="11"/>
      <c r="M165" s="11"/>
    </row>
    <row r="166" spans="1:13">
      <c r="A166" s="11"/>
      <c r="B166" s="11"/>
      <c r="C166" s="11"/>
      <c r="E166" s="11"/>
      <c r="F166" s="11"/>
      <c r="G166" s="11"/>
      <c r="H166" s="11"/>
      <c r="I166" s="11"/>
      <c r="J166" s="11"/>
      <c r="K166" s="11"/>
      <c r="L166" s="11"/>
      <c r="M166" s="11"/>
    </row>
    <row r="167" spans="1:13">
      <c r="A167" s="11"/>
      <c r="B167" s="11"/>
      <c r="C167" s="11"/>
      <c r="E167" s="11"/>
      <c r="F167" s="11"/>
      <c r="G167" s="11"/>
      <c r="H167" s="11"/>
      <c r="I167" s="11"/>
      <c r="J167" s="11"/>
      <c r="K167" s="11"/>
      <c r="L167" s="11"/>
      <c r="M167" s="11"/>
    </row>
    <row r="168" spans="1:13">
      <c r="A168" s="11"/>
      <c r="B168" s="11"/>
      <c r="C168" s="11"/>
      <c r="E168" s="11"/>
      <c r="F168" s="11"/>
      <c r="G168" s="11"/>
      <c r="H168" s="11"/>
      <c r="I168" s="11"/>
      <c r="J168" s="11"/>
      <c r="K168" s="11"/>
      <c r="L168" s="11"/>
      <c r="M168" s="11"/>
    </row>
    <row r="169" spans="1:13">
      <c r="A169" s="11"/>
      <c r="B169" s="11"/>
      <c r="C169" s="11"/>
      <c r="E169" s="11"/>
      <c r="F169" s="11"/>
      <c r="G169" s="11"/>
      <c r="H169" s="11"/>
      <c r="I169" s="11"/>
      <c r="J169" s="11"/>
      <c r="K169" s="11"/>
      <c r="L169" s="11"/>
      <c r="M169" s="11"/>
    </row>
    <row r="170" spans="1:13">
      <c r="A170" s="11"/>
      <c r="B170" s="11"/>
      <c r="C170" s="11"/>
      <c r="E170" s="11"/>
      <c r="F170" s="11"/>
      <c r="G170" s="11"/>
      <c r="H170" s="11"/>
      <c r="I170" s="11"/>
      <c r="J170" s="11"/>
      <c r="K170" s="11"/>
      <c r="L170" s="11"/>
      <c r="M170" s="11"/>
    </row>
    <row r="171" spans="1:13">
      <c r="A171" s="11"/>
      <c r="B171" s="11"/>
      <c r="C171" s="11"/>
      <c r="E171" s="11"/>
      <c r="F171" s="11"/>
      <c r="G171" s="11"/>
      <c r="H171" s="11"/>
      <c r="I171" s="11"/>
      <c r="J171" s="11"/>
      <c r="K171" s="11"/>
      <c r="L171" s="11"/>
      <c r="M171" s="11"/>
    </row>
    <row r="172" spans="1:13">
      <c r="A172" s="11"/>
      <c r="B172" s="11"/>
      <c r="C172" s="11"/>
      <c r="E172" s="11"/>
      <c r="F172" s="11"/>
      <c r="G172" s="11"/>
      <c r="H172" s="11"/>
      <c r="I172" s="11"/>
      <c r="J172" s="11"/>
      <c r="K172" s="11"/>
      <c r="L172" s="11"/>
      <c r="M172" s="11"/>
    </row>
    <row r="173" spans="1:13">
      <c r="A173" s="11"/>
      <c r="B173" s="11"/>
      <c r="C173" s="11"/>
      <c r="E173" s="11"/>
      <c r="F173" s="11"/>
      <c r="G173" s="11"/>
      <c r="H173" s="11"/>
      <c r="I173" s="11"/>
      <c r="J173" s="11"/>
      <c r="K173" s="11"/>
      <c r="L173" s="11"/>
      <c r="M173" s="11"/>
    </row>
    <row r="174" spans="1:13">
      <c r="A174" s="11"/>
      <c r="B174" s="11"/>
      <c r="C174" s="11"/>
      <c r="E174" s="11"/>
      <c r="F174" s="11"/>
      <c r="G174" s="11"/>
      <c r="H174" s="11"/>
      <c r="I174" s="11"/>
      <c r="J174" s="11"/>
      <c r="K174" s="11"/>
      <c r="L174" s="11"/>
      <c r="M174" s="11"/>
    </row>
    <row r="175" spans="1:13">
      <c r="A175" s="11"/>
      <c r="B175" s="11"/>
      <c r="C175" s="11"/>
      <c r="E175" s="11"/>
      <c r="F175" s="11"/>
      <c r="G175" s="11"/>
      <c r="H175" s="11"/>
      <c r="I175" s="11"/>
      <c r="J175" s="11"/>
      <c r="K175" s="11"/>
      <c r="L175" s="11"/>
      <c r="M175" s="11"/>
    </row>
    <row r="176" spans="1:13">
      <c r="A176" s="11"/>
      <c r="B176" s="11"/>
      <c r="C176" s="11"/>
      <c r="E176" s="11"/>
      <c r="F176" s="11"/>
      <c r="G176" s="11"/>
      <c r="H176" s="11"/>
      <c r="I176" s="11"/>
      <c r="J176" s="11"/>
      <c r="K176" s="11"/>
      <c r="L176" s="11"/>
      <c r="M176" s="11"/>
    </row>
    <row r="177" spans="1:13">
      <c r="A177" s="11"/>
      <c r="B177" s="11"/>
      <c r="C177" s="11"/>
      <c r="E177" s="11"/>
      <c r="F177" s="11"/>
      <c r="G177" s="11"/>
      <c r="H177" s="11"/>
      <c r="I177" s="11"/>
      <c r="J177" s="11"/>
      <c r="K177" s="11"/>
      <c r="L177" s="11"/>
      <c r="M177" s="11"/>
    </row>
    <row r="178" spans="1:13">
      <c r="A178" s="11"/>
      <c r="B178" s="11"/>
      <c r="C178" s="11"/>
      <c r="E178" s="11"/>
      <c r="F178" s="11"/>
      <c r="G178" s="11"/>
      <c r="H178" s="11"/>
      <c r="I178" s="11"/>
      <c r="J178" s="11"/>
      <c r="K178" s="11"/>
      <c r="L178" s="11"/>
      <c r="M178" s="11"/>
    </row>
    <row r="179" spans="1:13">
      <c r="A179" s="11"/>
      <c r="B179" s="11"/>
      <c r="C179" s="11"/>
      <c r="E179" s="11"/>
      <c r="F179" s="11"/>
      <c r="G179" s="11"/>
      <c r="H179" s="11"/>
      <c r="I179" s="11"/>
      <c r="J179" s="11"/>
      <c r="K179" s="11"/>
      <c r="L179" s="11"/>
      <c r="M179" s="11"/>
    </row>
    <row r="180" spans="1:13">
      <c r="A180" s="11"/>
      <c r="B180" s="11"/>
      <c r="C180" s="11"/>
      <c r="E180" s="11"/>
      <c r="F180" s="11"/>
      <c r="G180" s="11"/>
      <c r="H180" s="11"/>
      <c r="I180" s="11"/>
      <c r="J180" s="11"/>
      <c r="K180" s="11"/>
      <c r="L180" s="11"/>
      <c r="M180" s="11"/>
    </row>
    <row r="181" spans="1:13">
      <c r="A181" s="11"/>
      <c r="B181" s="11"/>
      <c r="C181" s="11"/>
      <c r="E181" s="11"/>
      <c r="F181" s="11"/>
      <c r="G181" s="11"/>
      <c r="H181" s="11"/>
      <c r="I181" s="11"/>
      <c r="J181" s="11"/>
      <c r="K181" s="11"/>
      <c r="L181" s="11"/>
      <c r="M181" s="11"/>
    </row>
    <row r="182" spans="1:13">
      <c r="A182" s="11"/>
      <c r="B182" s="11"/>
      <c r="C182" s="11"/>
      <c r="E182" s="11"/>
      <c r="F182" s="11"/>
      <c r="G182" s="11"/>
      <c r="H182" s="11"/>
      <c r="I182" s="11"/>
      <c r="J182" s="11"/>
      <c r="K182" s="11"/>
      <c r="L182" s="11"/>
      <c r="M182" s="11"/>
    </row>
    <row r="183" spans="1:13">
      <c r="A183" s="11"/>
      <c r="B183" s="11"/>
      <c r="C183" s="11"/>
      <c r="E183" s="11"/>
      <c r="F183" s="11"/>
      <c r="G183" s="11"/>
      <c r="H183" s="11"/>
      <c r="I183" s="11"/>
      <c r="J183" s="11"/>
      <c r="K183" s="11"/>
      <c r="L183" s="11"/>
      <c r="M183" s="11"/>
    </row>
    <row r="184" spans="1:13">
      <c r="A184" s="11"/>
      <c r="B184" s="11"/>
      <c r="C184" s="11"/>
      <c r="E184" s="11"/>
      <c r="F184" s="11"/>
      <c r="G184" s="11"/>
      <c r="H184" s="11"/>
      <c r="I184" s="11"/>
      <c r="J184" s="11"/>
      <c r="K184" s="11"/>
      <c r="L184" s="11"/>
      <c r="M184" s="11"/>
    </row>
    <row r="185" spans="1:13">
      <c r="A185" s="11"/>
      <c r="B185" s="11"/>
      <c r="C185" s="11"/>
      <c r="E185" s="11"/>
      <c r="F185" s="11"/>
      <c r="G185" s="11"/>
      <c r="H185" s="11"/>
      <c r="I185" s="11"/>
      <c r="J185" s="11"/>
      <c r="K185" s="11"/>
      <c r="L185" s="11"/>
      <c r="M185" s="11"/>
    </row>
    <row r="186" spans="1:13">
      <c r="A186" s="11"/>
      <c r="B186" s="11"/>
      <c r="C186" s="11"/>
      <c r="E186" s="11"/>
      <c r="F186" s="11"/>
      <c r="G186" s="11"/>
      <c r="H186" s="11"/>
      <c r="I186" s="11"/>
      <c r="J186" s="11"/>
      <c r="K186" s="11"/>
      <c r="L186" s="11"/>
      <c r="M186" s="11"/>
    </row>
    <row r="187" spans="1:13">
      <c r="A187" s="11"/>
      <c r="B187" s="11"/>
      <c r="C187" s="11"/>
      <c r="E187" s="11"/>
      <c r="F187" s="11"/>
      <c r="G187" s="11"/>
      <c r="H187" s="11"/>
      <c r="I187" s="11"/>
      <c r="J187" s="11"/>
      <c r="K187" s="11"/>
      <c r="L187" s="11"/>
      <c r="M187" s="11"/>
    </row>
    <row r="188" spans="1:13">
      <c r="A188" s="11"/>
      <c r="B188" s="11"/>
      <c r="C188" s="11"/>
      <c r="E188" s="11"/>
      <c r="F188" s="11"/>
      <c r="G188" s="11"/>
      <c r="H188" s="11"/>
      <c r="I188" s="11"/>
      <c r="J188" s="11"/>
      <c r="K188" s="11"/>
      <c r="L188" s="11"/>
      <c r="M188" s="11"/>
    </row>
    <row r="189" spans="1:13">
      <c r="A189" s="11"/>
      <c r="B189" s="11"/>
      <c r="C189" s="11"/>
      <c r="E189" s="11"/>
      <c r="F189" s="11"/>
      <c r="G189" s="11"/>
      <c r="H189" s="11"/>
      <c r="I189" s="11"/>
      <c r="J189" s="11"/>
      <c r="K189" s="11"/>
      <c r="L189" s="11"/>
      <c r="M189" s="11"/>
    </row>
    <row r="190" spans="1:13">
      <c r="A190" s="11"/>
      <c r="B190" s="11"/>
      <c r="C190" s="11"/>
      <c r="E190" s="11"/>
      <c r="F190" s="11"/>
      <c r="G190" s="11"/>
      <c r="H190" s="11"/>
      <c r="I190" s="11"/>
      <c r="J190" s="11"/>
      <c r="K190" s="11"/>
      <c r="L190" s="11"/>
      <c r="M190" s="11"/>
    </row>
    <row r="191" spans="1:13">
      <c r="A191" s="11"/>
      <c r="B191" s="11"/>
      <c r="C191" s="11"/>
      <c r="E191" s="11"/>
      <c r="F191" s="11"/>
      <c r="G191" s="11"/>
      <c r="H191" s="11"/>
      <c r="I191" s="11"/>
      <c r="J191" s="11"/>
      <c r="K191" s="11"/>
      <c r="L191" s="11"/>
      <c r="M191" s="11"/>
    </row>
    <row r="192" spans="1:13">
      <c r="A192" s="11"/>
      <c r="B192" s="11"/>
      <c r="C192" s="11"/>
      <c r="E192" s="11"/>
      <c r="F192" s="11"/>
      <c r="G192" s="11"/>
      <c r="H192" s="11"/>
      <c r="I192" s="11"/>
      <c r="J192" s="11"/>
      <c r="K192" s="11"/>
      <c r="L192" s="11"/>
      <c r="M192" s="11"/>
    </row>
    <row r="193" spans="1:13">
      <c r="A193" s="11"/>
      <c r="B193" s="11"/>
      <c r="C193" s="11"/>
      <c r="E193" s="11"/>
      <c r="F193" s="11"/>
      <c r="G193" s="11"/>
      <c r="H193" s="11"/>
      <c r="I193" s="11"/>
      <c r="J193" s="11"/>
      <c r="K193" s="11"/>
      <c r="L193" s="11"/>
      <c r="M193" s="11"/>
    </row>
    <row r="194" spans="1:13">
      <c r="A194" s="11"/>
      <c r="B194" s="11"/>
      <c r="C194" s="11"/>
      <c r="E194" s="11"/>
      <c r="F194" s="11"/>
      <c r="G194" s="11"/>
      <c r="H194" s="11"/>
      <c r="I194" s="11"/>
      <c r="J194" s="11"/>
      <c r="K194" s="11"/>
      <c r="L194" s="11"/>
      <c r="M194" s="11"/>
    </row>
    <row r="195" spans="1:13">
      <c r="A195" s="11"/>
      <c r="B195" s="11"/>
      <c r="C195" s="11"/>
      <c r="E195" s="11"/>
      <c r="F195" s="11"/>
      <c r="G195" s="11"/>
      <c r="H195" s="11"/>
      <c r="I195" s="11"/>
      <c r="J195" s="11"/>
      <c r="K195" s="11"/>
      <c r="L195" s="11"/>
      <c r="M195" s="11"/>
    </row>
    <row r="196" spans="1:13">
      <c r="A196" s="11"/>
      <c r="B196" s="11"/>
      <c r="C196" s="11"/>
      <c r="E196" s="11"/>
      <c r="F196" s="11"/>
      <c r="G196" s="11"/>
      <c r="H196" s="11"/>
      <c r="I196" s="11"/>
      <c r="J196" s="11"/>
      <c r="K196" s="11"/>
      <c r="L196" s="11"/>
      <c r="M196" s="11"/>
    </row>
    <row r="197" spans="1:13">
      <c r="A197" s="11"/>
      <c r="B197" s="11"/>
      <c r="C197" s="11"/>
      <c r="E197" s="11"/>
      <c r="F197" s="11"/>
      <c r="G197" s="11"/>
      <c r="H197" s="11"/>
      <c r="I197" s="11"/>
      <c r="J197" s="11"/>
      <c r="K197" s="11"/>
      <c r="L197" s="11"/>
      <c r="M197" s="11"/>
    </row>
    <row r="198" spans="1:13">
      <c r="A198" s="11"/>
      <c r="B198" s="11"/>
      <c r="C198" s="11"/>
      <c r="E198" s="11"/>
      <c r="F198" s="11"/>
      <c r="G198" s="11"/>
      <c r="H198" s="11"/>
      <c r="I198" s="11"/>
      <c r="J198" s="11"/>
      <c r="K198" s="11"/>
      <c r="L198" s="11"/>
      <c r="M198" s="11"/>
    </row>
    <row r="199" spans="1:13">
      <c r="A199" s="11"/>
      <c r="B199" s="11"/>
      <c r="C199" s="11"/>
      <c r="E199" s="11"/>
      <c r="F199" s="11"/>
      <c r="G199" s="11"/>
      <c r="H199" s="11"/>
      <c r="I199" s="11"/>
      <c r="J199" s="11"/>
      <c r="K199" s="11"/>
      <c r="L199" s="11"/>
      <c r="M199" s="11"/>
    </row>
    <row r="200" spans="1:13">
      <c r="A200" s="11"/>
      <c r="B200" s="11"/>
      <c r="C200" s="11"/>
      <c r="E200" s="11"/>
      <c r="F200" s="11"/>
      <c r="G200" s="11"/>
      <c r="H200" s="11"/>
      <c r="I200" s="11"/>
      <c r="J200" s="11"/>
      <c r="K200" s="11"/>
      <c r="L200" s="11"/>
      <c r="M200" s="11"/>
    </row>
    <row r="201" spans="1:13">
      <c r="A201" s="11"/>
      <c r="B201" s="11"/>
      <c r="C201" s="11"/>
      <c r="E201" s="11"/>
      <c r="F201" s="11"/>
      <c r="G201" s="11"/>
      <c r="H201" s="11"/>
      <c r="I201" s="11"/>
      <c r="J201" s="11"/>
      <c r="K201" s="11"/>
      <c r="L201" s="11"/>
      <c r="M201" s="11"/>
    </row>
    <row r="202" spans="1:13">
      <c r="A202" s="11"/>
      <c r="B202" s="11"/>
      <c r="C202" s="11"/>
      <c r="E202" s="11"/>
      <c r="F202" s="11"/>
      <c r="G202" s="11"/>
      <c r="H202" s="11"/>
      <c r="I202" s="11"/>
      <c r="J202" s="11"/>
      <c r="K202" s="11"/>
      <c r="L202" s="11"/>
      <c r="M202" s="11"/>
    </row>
    <row r="203" spans="1:13">
      <c r="A203" s="11"/>
      <c r="B203" s="11"/>
      <c r="C203" s="11"/>
      <c r="E203" s="11"/>
      <c r="F203" s="11"/>
      <c r="G203" s="11"/>
      <c r="H203" s="11"/>
      <c r="I203" s="11"/>
      <c r="J203" s="11"/>
      <c r="K203" s="11"/>
      <c r="L203" s="11"/>
      <c r="M203" s="11"/>
    </row>
    <row r="204" spans="1:13">
      <c r="A204" s="11"/>
      <c r="B204" s="11"/>
      <c r="C204" s="11"/>
      <c r="E204" s="11"/>
      <c r="F204" s="11"/>
      <c r="G204" s="11"/>
      <c r="H204" s="11"/>
      <c r="I204" s="11"/>
      <c r="J204" s="11"/>
      <c r="K204" s="11"/>
      <c r="L204" s="11"/>
      <c r="M204" s="11"/>
    </row>
    <row r="205" spans="1:13">
      <c r="A205" s="11"/>
      <c r="B205" s="11"/>
      <c r="C205" s="11"/>
      <c r="E205" s="11"/>
      <c r="F205" s="11"/>
      <c r="G205" s="11"/>
      <c r="H205" s="11"/>
      <c r="I205" s="11"/>
      <c r="J205" s="11"/>
      <c r="K205" s="11"/>
      <c r="L205" s="11"/>
      <c r="M205" s="11"/>
    </row>
    <row r="206" spans="1:13">
      <c r="A206" s="11"/>
      <c r="B206" s="11"/>
      <c r="C206" s="11"/>
      <c r="E206" s="11"/>
      <c r="F206" s="11"/>
      <c r="G206" s="11"/>
      <c r="H206" s="11"/>
      <c r="I206" s="11"/>
      <c r="J206" s="11"/>
      <c r="K206" s="11"/>
      <c r="L206" s="11"/>
      <c r="M206" s="11"/>
    </row>
    <row r="207" spans="1:13">
      <c r="A207" s="11"/>
      <c r="B207" s="11"/>
      <c r="C207" s="11"/>
      <c r="E207" s="11"/>
      <c r="F207" s="11"/>
      <c r="G207" s="11"/>
      <c r="H207" s="11"/>
      <c r="I207" s="11"/>
      <c r="J207" s="11"/>
      <c r="K207" s="11"/>
      <c r="L207" s="11"/>
      <c r="M207" s="11"/>
    </row>
    <row r="208" spans="1:13">
      <c r="A208" s="11"/>
      <c r="B208" s="11"/>
      <c r="C208" s="11"/>
      <c r="E208" s="11"/>
      <c r="F208" s="11"/>
      <c r="G208" s="11"/>
      <c r="H208" s="11"/>
      <c r="I208" s="11"/>
      <c r="J208" s="11"/>
      <c r="K208" s="11"/>
      <c r="L208" s="11"/>
      <c r="M208" s="11"/>
    </row>
    <row r="209" spans="1:13">
      <c r="A209" s="11"/>
      <c r="B209" s="11"/>
      <c r="C209" s="11"/>
      <c r="E209" s="11"/>
      <c r="F209" s="11"/>
      <c r="G209" s="11"/>
      <c r="H209" s="11"/>
      <c r="I209" s="11"/>
      <c r="J209" s="11"/>
      <c r="K209" s="11"/>
      <c r="L209" s="11"/>
      <c r="M209" s="11"/>
    </row>
    <row r="210" spans="1:13">
      <c r="A210" s="11"/>
      <c r="B210" s="11"/>
      <c r="C210" s="11"/>
      <c r="E210" s="11"/>
      <c r="F210" s="11"/>
      <c r="G210" s="11"/>
      <c r="H210" s="11"/>
      <c r="I210" s="11"/>
      <c r="J210" s="11"/>
      <c r="K210" s="11"/>
      <c r="L210" s="11"/>
      <c r="M210" s="11"/>
    </row>
    <row r="211" spans="1:13">
      <c r="A211" s="11"/>
      <c r="B211" s="11"/>
      <c r="C211" s="11"/>
      <c r="E211" s="11"/>
      <c r="F211" s="11"/>
      <c r="G211" s="11"/>
      <c r="H211" s="11"/>
      <c r="I211" s="11"/>
      <c r="J211" s="11"/>
      <c r="K211" s="11"/>
      <c r="L211" s="11"/>
      <c r="M211" s="11"/>
    </row>
  </sheetData>
  <mergeCells count="24">
    <mergeCell ref="E65:F65"/>
    <mergeCell ref="E68:F68"/>
    <mergeCell ref="E71:F71"/>
    <mergeCell ref="E66:F66"/>
    <mergeCell ref="E64:F64"/>
    <mergeCell ref="E67:F67"/>
    <mergeCell ref="E69:F69"/>
    <mergeCell ref="E70:F70"/>
    <mergeCell ref="B97:O98"/>
    <mergeCell ref="E75:F75"/>
    <mergeCell ref="A1:M1"/>
    <mergeCell ref="B55:C55"/>
    <mergeCell ref="E57:F57"/>
    <mergeCell ref="E58:F58"/>
    <mergeCell ref="E60:F60"/>
    <mergeCell ref="E61:F61"/>
    <mergeCell ref="E62:F62"/>
    <mergeCell ref="E59:F59"/>
    <mergeCell ref="B56:C56"/>
    <mergeCell ref="E72:F72"/>
    <mergeCell ref="E56:G56"/>
    <mergeCell ref="B62:C62"/>
    <mergeCell ref="B68:C68"/>
    <mergeCell ref="E63:F63"/>
  </mergeCells>
  <phoneticPr fontId="10" type="noConversion"/>
  <pageMargins left="0.19685039370078741" right="0.19685039370078741" top="0.70866141732283472" bottom="0.19685039370078741" header="0.11811023622047245" footer="0"/>
  <pageSetup scale="90" orientation="landscape" verticalDpi="300" r:id="rId1"/>
  <headerFooter alignWithMargins="0"/>
  <rowBreaks count="2" manualBreakCount="2">
    <brk id="28" max="22" man="1"/>
    <brk id="53" max="22" man="1"/>
  </rowBreaks>
  <colBreaks count="1" manualBreakCount="1">
    <brk id="13" max="80"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P71"/>
  <sheetViews>
    <sheetView zoomScale="115" zoomScaleNormal="115" workbookViewId="0">
      <selection activeCell="J25" sqref="J25"/>
    </sheetView>
  </sheetViews>
  <sheetFormatPr baseColWidth="10" defaultRowHeight="12.75"/>
  <cols>
    <col min="1" max="1" width="8.42578125" style="97" customWidth="1"/>
    <col min="2" max="2" width="32" style="40" bestFit="1" customWidth="1"/>
    <col min="3" max="3" width="15" style="203" customWidth="1"/>
    <col min="4" max="4" width="14.28515625" style="203" customWidth="1"/>
    <col min="5" max="5" width="13.85546875" style="203" customWidth="1"/>
    <col min="6" max="7" width="14" style="203" customWidth="1"/>
    <col min="8" max="8" width="14.28515625" style="203" customWidth="1"/>
    <col min="9" max="9" width="15" style="203" customWidth="1"/>
    <col min="10" max="10" width="15.28515625" style="203" customWidth="1"/>
    <col min="11" max="11" width="3.42578125" customWidth="1"/>
    <col min="12" max="12" width="2.5703125" customWidth="1"/>
    <col min="13" max="13" width="13.42578125" bestFit="1" customWidth="1"/>
  </cols>
  <sheetData>
    <row r="1" spans="1:16" ht="15.75">
      <c r="B1" s="1596" t="s">
        <v>79</v>
      </c>
      <c r="C1" s="1597"/>
      <c r="D1" s="1597"/>
      <c r="E1" s="1597"/>
      <c r="F1" s="1597"/>
      <c r="G1" s="1597"/>
      <c r="H1" s="1597"/>
      <c r="I1" s="1597"/>
      <c r="J1" s="1597"/>
    </row>
    <row r="2" spans="1:16" ht="15.75">
      <c r="B2" s="1598" t="s">
        <v>315</v>
      </c>
      <c r="C2" s="1596"/>
      <c r="D2" s="1596"/>
      <c r="E2" s="1596"/>
      <c r="F2" s="1596"/>
      <c r="G2" s="1596"/>
      <c r="H2" s="1596"/>
      <c r="I2" s="1596"/>
      <c r="J2" s="1596"/>
    </row>
    <row r="3" spans="1:16" ht="15.75">
      <c r="A3" s="1599" t="s">
        <v>197</v>
      </c>
      <c r="B3" s="1599"/>
      <c r="C3" s="1599"/>
      <c r="D3" s="1599"/>
      <c r="E3" s="1599"/>
      <c r="F3" s="1599"/>
      <c r="G3" s="1599"/>
      <c r="H3" s="1599"/>
      <c r="I3" s="1599"/>
      <c r="J3" s="1599"/>
    </row>
    <row r="4" spans="1:16" ht="15.75">
      <c r="A4" s="1600" t="s">
        <v>1034</v>
      </c>
      <c r="B4" s="1600"/>
      <c r="C4" s="1600"/>
      <c r="D4" s="1600"/>
      <c r="E4" s="1600"/>
      <c r="F4" s="1600"/>
      <c r="G4" s="1600"/>
      <c r="H4" s="1600"/>
      <c r="I4" s="1600"/>
      <c r="J4" s="1600"/>
    </row>
    <row r="5" spans="1:16" s="28" customFormat="1" ht="38.25">
      <c r="A5" s="750"/>
      <c r="B5" s="751" t="s">
        <v>198</v>
      </c>
      <c r="C5" s="752">
        <v>2018</v>
      </c>
      <c r="D5" s="752">
        <v>2019</v>
      </c>
      <c r="E5" s="751">
        <v>2020</v>
      </c>
      <c r="F5" s="751">
        <v>2021</v>
      </c>
      <c r="G5" s="751">
        <v>2022</v>
      </c>
      <c r="H5" s="751" t="s">
        <v>165</v>
      </c>
      <c r="I5" s="753" t="s">
        <v>199</v>
      </c>
      <c r="J5" s="754" t="s">
        <v>200</v>
      </c>
    </row>
    <row r="6" spans="1:16" s="45" customFormat="1" ht="15" customHeight="1">
      <c r="A6" s="746">
        <v>11</v>
      </c>
      <c r="B6" s="755" t="s">
        <v>201</v>
      </c>
      <c r="C6" s="756">
        <f t="shared" ref="C6:J6" si="0">C7</f>
        <v>12379.31</v>
      </c>
      <c r="D6" s="756">
        <f t="shared" si="0"/>
        <v>48858.18</v>
      </c>
      <c r="E6" s="757">
        <f t="shared" si="0"/>
        <v>48858.18</v>
      </c>
      <c r="F6" s="757">
        <f t="shared" si="0"/>
        <v>34750.300000000003</v>
      </c>
      <c r="G6" s="757">
        <f t="shared" si="0"/>
        <v>49042.41</v>
      </c>
      <c r="H6" s="756">
        <f t="shared" si="0"/>
        <v>193888.38</v>
      </c>
      <c r="I6" s="756">
        <f t="shared" si="0"/>
        <v>38777.675999999999</v>
      </c>
      <c r="J6" s="756">
        <f t="shared" si="0"/>
        <v>38052.685644557998</v>
      </c>
    </row>
    <row r="7" spans="1:16" s="41" customFormat="1" ht="15" customHeight="1">
      <c r="A7" s="746">
        <v>118</v>
      </c>
      <c r="B7" s="758" t="s">
        <v>202</v>
      </c>
      <c r="C7" s="756">
        <f>SUM(C8:C16)</f>
        <v>12379.31</v>
      </c>
      <c r="D7" s="756">
        <f>SUM(D8:D16)</f>
        <v>48858.18</v>
      </c>
      <c r="E7" s="756">
        <f>SUM(E8:E16)</f>
        <v>48858.18</v>
      </c>
      <c r="F7" s="756">
        <f>SUM(F8:F16)</f>
        <v>34750.300000000003</v>
      </c>
      <c r="G7" s="756">
        <f>SUM(G8:G16)</f>
        <v>49042.41</v>
      </c>
      <c r="H7" s="756">
        <f>SUM(C7:G7)</f>
        <v>193888.38</v>
      </c>
      <c r="I7" s="756">
        <f>AVERAGE(C7:G7)</f>
        <v>38777.675999999999</v>
      </c>
      <c r="J7" s="756">
        <f>SUM(J8:J16)</f>
        <v>38052.685644557998</v>
      </c>
    </row>
    <row r="8" spans="1:16" s="8" customFormat="1" ht="12">
      <c r="A8" s="759">
        <v>11801</v>
      </c>
      <c r="B8" s="760" t="s">
        <v>42</v>
      </c>
      <c r="C8" s="761">
        <v>350</v>
      </c>
      <c r="D8" s="761"/>
      <c r="E8" s="761"/>
      <c r="F8" s="761">
        <v>909.89</v>
      </c>
      <c r="G8" s="761">
        <v>1091</v>
      </c>
      <c r="H8" s="762">
        <f>SUM(C8:G8)</f>
        <v>2350.89</v>
      </c>
      <c r="I8" s="762">
        <f t="shared" ref="I8:I13" si="1">H8/5</f>
        <v>470.178</v>
      </c>
      <c r="J8" s="762">
        <f t="shared" ref="J8:J14" si="2">F8*9.503186%+F8</f>
        <v>996.35853909539992</v>
      </c>
      <c r="P8" s="383"/>
    </row>
    <row r="9" spans="1:16" s="8" customFormat="1" ht="12" hidden="1">
      <c r="A9" s="759">
        <v>11802</v>
      </c>
      <c r="B9" s="760" t="s">
        <v>43</v>
      </c>
      <c r="C9" s="761"/>
      <c r="D9" s="761"/>
      <c r="E9" s="761"/>
      <c r="F9" s="761"/>
      <c r="G9" s="761"/>
      <c r="H9" s="762">
        <f t="shared" ref="H9:H16" si="3">SUM(C9:G9)</f>
        <v>0</v>
      </c>
      <c r="I9" s="762">
        <f t="shared" si="1"/>
        <v>0</v>
      </c>
      <c r="J9" s="762">
        <f t="shared" si="2"/>
        <v>0</v>
      </c>
    </row>
    <row r="10" spans="1:16" s="8" customFormat="1" ht="12" hidden="1">
      <c r="A10" s="759">
        <v>11803</v>
      </c>
      <c r="B10" s="760" t="s">
        <v>203</v>
      </c>
      <c r="C10" s="761"/>
      <c r="D10" s="761"/>
      <c r="E10" s="761"/>
      <c r="F10" s="761"/>
      <c r="G10" s="761"/>
      <c r="H10" s="762">
        <f t="shared" si="3"/>
        <v>0</v>
      </c>
      <c r="I10" s="762">
        <f t="shared" si="1"/>
        <v>0</v>
      </c>
      <c r="J10" s="762">
        <f t="shared" si="2"/>
        <v>0</v>
      </c>
    </row>
    <row r="11" spans="1:16" s="8" customFormat="1" ht="12" hidden="1">
      <c r="A11" s="759">
        <v>11804</v>
      </c>
      <c r="B11" s="763" t="s">
        <v>44</v>
      </c>
      <c r="C11" s="761"/>
      <c r="D11" s="761"/>
      <c r="E11" s="761"/>
      <c r="F11" s="761"/>
      <c r="G11" s="761"/>
      <c r="H11" s="762">
        <f t="shared" si="3"/>
        <v>0</v>
      </c>
      <c r="I11" s="762">
        <f t="shared" si="1"/>
        <v>0</v>
      </c>
      <c r="J11" s="762">
        <f t="shared" si="2"/>
        <v>0</v>
      </c>
    </row>
    <row r="12" spans="1:16" s="8" customFormat="1" ht="12" hidden="1">
      <c r="A12" s="759">
        <v>11806</v>
      </c>
      <c r="B12" s="760" t="s">
        <v>204</v>
      </c>
      <c r="C12" s="761"/>
      <c r="D12" s="761"/>
      <c r="E12" s="761"/>
      <c r="F12" s="761"/>
      <c r="G12" s="761"/>
      <c r="H12" s="762">
        <f t="shared" si="3"/>
        <v>0</v>
      </c>
      <c r="I12" s="762">
        <f t="shared" si="1"/>
        <v>0</v>
      </c>
      <c r="J12" s="762">
        <f t="shared" si="2"/>
        <v>0</v>
      </c>
    </row>
    <row r="13" spans="1:16" s="8" customFormat="1" ht="12" hidden="1">
      <c r="A13" s="759">
        <v>11816</v>
      </c>
      <c r="B13" s="764" t="s">
        <v>46</v>
      </c>
      <c r="C13" s="761"/>
      <c r="D13" s="761"/>
      <c r="E13" s="761"/>
      <c r="F13" s="761"/>
      <c r="G13" s="761"/>
      <c r="H13" s="762">
        <f t="shared" si="3"/>
        <v>0</v>
      </c>
      <c r="I13" s="762">
        <f t="shared" si="1"/>
        <v>0</v>
      </c>
      <c r="J13" s="762">
        <f t="shared" si="2"/>
        <v>0</v>
      </c>
    </row>
    <row r="14" spans="1:16" s="8" customFormat="1" ht="12">
      <c r="A14" s="759">
        <v>11817</v>
      </c>
      <c r="B14" s="763" t="s">
        <v>391</v>
      </c>
      <c r="C14" s="761"/>
      <c r="D14" s="761"/>
      <c r="E14" s="761"/>
      <c r="F14" s="761"/>
      <c r="G14" s="761">
        <v>2210</v>
      </c>
      <c r="H14" s="762">
        <f t="shared" si="3"/>
        <v>2210</v>
      </c>
      <c r="I14" s="762"/>
      <c r="J14" s="762">
        <f t="shared" si="2"/>
        <v>0</v>
      </c>
    </row>
    <row r="15" spans="1:16" s="8" customFormat="1" ht="15" customHeight="1">
      <c r="A15" s="759">
        <v>11818</v>
      </c>
      <c r="B15" s="760" t="s">
        <v>205</v>
      </c>
      <c r="C15" s="761">
        <v>1037.6500000000001</v>
      </c>
      <c r="D15" s="761">
        <v>1132.4100000000001</v>
      </c>
      <c r="E15" s="761">
        <v>1132.4100000000001</v>
      </c>
      <c r="F15" s="761">
        <v>987.87</v>
      </c>
      <c r="G15" s="761">
        <v>897.26</v>
      </c>
      <c r="H15" s="762">
        <f t="shared" si="3"/>
        <v>5187.6000000000004</v>
      </c>
      <c r="I15" s="762">
        <f>H15/5</f>
        <v>1037.52</v>
      </c>
      <c r="J15" s="762">
        <f>F15*9.503186%+F15</f>
        <v>1081.7491235381999</v>
      </c>
    </row>
    <row r="16" spans="1:16" s="8" customFormat="1" ht="13.5" customHeight="1">
      <c r="A16" s="759">
        <v>11899</v>
      </c>
      <c r="B16" s="760" t="s">
        <v>47</v>
      </c>
      <c r="C16" s="761">
        <v>10991.66</v>
      </c>
      <c r="D16" s="761">
        <v>47725.77</v>
      </c>
      <c r="E16" s="761">
        <v>47725.77</v>
      </c>
      <c r="F16" s="761">
        <v>32852.54</v>
      </c>
      <c r="G16" s="761">
        <v>44844.15</v>
      </c>
      <c r="H16" s="762">
        <f t="shared" si="3"/>
        <v>184139.88999999998</v>
      </c>
      <c r="I16" s="762">
        <f>H16/5</f>
        <v>36827.977999999996</v>
      </c>
      <c r="J16" s="762">
        <f>F16*9.503186%+F16</f>
        <v>35974.577981924398</v>
      </c>
    </row>
    <row r="17" spans="1:14" s="45" customFormat="1" ht="15" customHeight="1">
      <c r="A17" s="746">
        <v>12</v>
      </c>
      <c r="B17" s="755" t="s">
        <v>206</v>
      </c>
      <c r="C17" s="756">
        <f>C18+C32</f>
        <v>148883.41</v>
      </c>
      <c r="D17" s="756">
        <f>D18+D32</f>
        <v>135970.01</v>
      </c>
      <c r="E17" s="757">
        <f>E18</f>
        <v>112353.45</v>
      </c>
      <c r="F17" s="757">
        <f>F18</f>
        <v>126902.56999999998</v>
      </c>
      <c r="G17" s="757">
        <f>G18</f>
        <v>115776.55</v>
      </c>
      <c r="H17" s="757">
        <f>H18+H32</f>
        <v>751532.23</v>
      </c>
      <c r="I17" s="756">
        <f>I18+I32</f>
        <v>150306.446</v>
      </c>
      <c r="J17" s="756">
        <f>J18+J32</f>
        <v>181048.03430049962</v>
      </c>
    </row>
    <row r="18" spans="1:14" s="41" customFormat="1" ht="15" customHeight="1">
      <c r="A18" s="746">
        <v>121</v>
      </c>
      <c r="B18" s="755" t="s">
        <v>207</v>
      </c>
      <c r="C18" s="756">
        <f>SUM(C19:C31)</f>
        <v>110115.34</v>
      </c>
      <c r="D18" s="756">
        <f>SUM(D19:D31)</f>
        <v>112353.45</v>
      </c>
      <c r="E18" s="756">
        <f>SUM(E19:E31)</f>
        <v>112353.45</v>
      </c>
      <c r="F18" s="756">
        <f>SUM(F19:F31)</f>
        <v>126902.56999999998</v>
      </c>
      <c r="G18" s="756">
        <f>SUM(G19:G31)</f>
        <v>115776.55</v>
      </c>
      <c r="H18" s="756">
        <f>SUM(C18:G18)</f>
        <v>577501.36</v>
      </c>
      <c r="I18" s="756">
        <f>AVERAGE(C18:G18)</f>
        <v>115500.272</v>
      </c>
      <c r="J18" s="756">
        <f>SUM(J19:J31)</f>
        <v>139185.74376532022</v>
      </c>
    </row>
    <row r="19" spans="1:14" s="8" customFormat="1" ht="15" customHeight="1">
      <c r="A19" s="765">
        <v>12105</v>
      </c>
      <c r="B19" s="760" t="s">
        <v>48</v>
      </c>
      <c r="C19" s="761">
        <v>7206.46</v>
      </c>
      <c r="D19" s="761">
        <v>8417.1200000000008</v>
      </c>
      <c r="E19" s="761">
        <v>8417.1200000000008</v>
      </c>
      <c r="F19" s="761">
        <v>15126.71</v>
      </c>
      <c r="G19" s="761">
        <v>10774.52</v>
      </c>
      <c r="H19" s="762">
        <f>SUM(C19:G19)</f>
        <v>49941.930000000008</v>
      </c>
      <c r="I19" s="762">
        <f>AVERAGE(C19:G19)</f>
        <v>9988.3860000000022</v>
      </c>
      <c r="J19" s="762">
        <f t="shared" ref="J19:J31" si="4">F19*9.503186%+F19</f>
        <v>16564.229386980598</v>
      </c>
    </row>
    <row r="20" spans="1:14" s="8" customFormat="1" ht="15" customHeight="1">
      <c r="A20" s="765">
        <v>12106</v>
      </c>
      <c r="B20" s="760" t="s">
        <v>208</v>
      </c>
      <c r="C20" s="761">
        <v>344</v>
      </c>
      <c r="D20" s="761">
        <v>232</v>
      </c>
      <c r="E20" s="761">
        <v>232</v>
      </c>
      <c r="F20" s="761">
        <v>217</v>
      </c>
      <c r="G20" s="761">
        <v>421</v>
      </c>
      <c r="H20" s="762">
        <f t="shared" ref="H20:H31" si="5">SUM(C20:G20)</f>
        <v>1446</v>
      </c>
      <c r="I20" s="762">
        <f t="shared" ref="I20:I31" si="6">AVERAGE(C20:G20)</f>
        <v>289.2</v>
      </c>
      <c r="J20" s="762">
        <f>G20*9.503186%+G20</f>
        <v>461.00841306000001</v>
      </c>
    </row>
    <row r="21" spans="1:14" s="8" customFormat="1" ht="15" customHeight="1">
      <c r="A21" s="765">
        <v>12108</v>
      </c>
      <c r="B21" s="760" t="s">
        <v>28</v>
      </c>
      <c r="C21" s="761">
        <v>14868.16</v>
      </c>
      <c r="D21" s="761">
        <v>12794.7</v>
      </c>
      <c r="E21" s="761">
        <v>12794.7</v>
      </c>
      <c r="F21" s="761">
        <v>14411.21</v>
      </c>
      <c r="G21" s="761">
        <v>16067.87</v>
      </c>
      <c r="H21" s="762">
        <f t="shared" si="5"/>
        <v>70936.639999999999</v>
      </c>
      <c r="I21" s="762">
        <f t="shared" si="6"/>
        <v>14187.328</v>
      </c>
      <c r="J21" s="762">
        <f t="shared" si="4"/>
        <v>15780.7340911506</v>
      </c>
    </row>
    <row r="22" spans="1:14" s="8" customFormat="1" ht="15" hidden="1" customHeight="1">
      <c r="A22" s="765">
        <v>12110</v>
      </c>
      <c r="B22" s="760" t="s">
        <v>719</v>
      </c>
      <c r="C22" s="761"/>
      <c r="D22" s="761"/>
      <c r="E22" s="761"/>
      <c r="F22" s="761"/>
      <c r="G22" s="761"/>
      <c r="H22" s="762">
        <f t="shared" si="5"/>
        <v>0</v>
      </c>
      <c r="I22" s="762" t="e">
        <f t="shared" si="6"/>
        <v>#DIV/0!</v>
      </c>
      <c r="J22" s="762">
        <f t="shared" si="4"/>
        <v>0</v>
      </c>
      <c r="N22" s="401"/>
    </row>
    <row r="23" spans="1:14" s="8" customFormat="1" ht="15" customHeight="1">
      <c r="A23" s="765">
        <v>12111</v>
      </c>
      <c r="B23" s="760" t="s">
        <v>49</v>
      </c>
      <c r="C23" s="761">
        <v>1618</v>
      </c>
      <c r="D23" s="761">
        <v>1500</v>
      </c>
      <c r="E23" s="761">
        <v>1500</v>
      </c>
      <c r="F23" s="761">
        <v>1250</v>
      </c>
      <c r="G23" s="761">
        <v>1840</v>
      </c>
      <c r="H23" s="762">
        <f t="shared" si="5"/>
        <v>7708</v>
      </c>
      <c r="I23" s="762">
        <f t="shared" si="6"/>
        <v>1541.6</v>
      </c>
      <c r="J23" s="762">
        <f t="shared" si="4"/>
        <v>1368.7898250000001</v>
      </c>
    </row>
    <row r="24" spans="1:14" s="8" customFormat="1" ht="15" customHeight="1">
      <c r="A24" s="765">
        <v>12112</v>
      </c>
      <c r="B24" s="760" t="s">
        <v>50</v>
      </c>
      <c r="C24" s="761">
        <v>23301.360000000001</v>
      </c>
      <c r="D24" s="761">
        <v>20465.62</v>
      </c>
      <c r="E24" s="761">
        <v>20465.62</v>
      </c>
      <c r="F24" s="761">
        <v>22973.279999999999</v>
      </c>
      <c r="G24" s="761">
        <v>24614.560000000001</v>
      </c>
      <c r="H24" s="762">
        <f t="shared" si="5"/>
        <v>111820.43999999999</v>
      </c>
      <c r="I24" s="762">
        <f t="shared" si="6"/>
        <v>22364.087999999996</v>
      </c>
      <c r="J24" s="762">
        <f t="shared" si="4"/>
        <v>25156.473528700801</v>
      </c>
    </row>
    <row r="25" spans="1:14" s="8" customFormat="1" ht="15" customHeight="1">
      <c r="A25" s="765">
        <v>12114</v>
      </c>
      <c r="B25" s="760" t="s">
        <v>51</v>
      </c>
      <c r="C25" s="761">
        <v>10218.299999999999</v>
      </c>
      <c r="D25" s="761">
        <v>10067.709999999999</v>
      </c>
      <c r="E25" s="761">
        <v>10067.709999999999</v>
      </c>
      <c r="F25" s="761">
        <v>11310.25</v>
      </c>
      <c r="G25" s="761">
        <v>14860.81</v>
      </c>
      <c r="H25" s="762">
        <f t="shared" si="5"/>
        <v>56524.78</v>
      </c>
      <c r="I25" s="762">
        <f t="shared" si="6"/>
        <v>11304.956</v>
      </c>
      <c r="J25" s="762">
        <f t="shared" si="4"/>
        <v>12385.084094565</v>
      </c>
    </row>
    <row r="26" spans="1:14" s="8" customFormat="1" ht="15" customHeight="1">
      <c r="A26" s="765">
        <v>12115</v>
      </c>
      <c r="B26" s="760" t="s">
        <v>52</v>
      </c>
      <c r="C26" s="761">
        <v>1245.8499999999999</v>
      </c>
      <c r="D26" s="761">
        <v>844.76</v>
      </c>
      <c r="E26" s="761">
        <v>844.76</v>
      </c>
      <c r="F26" s="761">
        <v>424.8</v>
      </c>
      <c r="G26" s="761">
        <v>78.12</v>
      </c>
      <c r="H26" s="762">
        <f t="shared" si="5"/>
        <v>3438.29</v>
      </c>
      <c r="I26" s="762">
        <f t="shared" si="6"/>
        <v>687.65800000000002</v>
      </c>
      <c r="J26" s="762">
        <f t="shared" si="4"/>
        <v>465.16953412800001</v>
      </c>
    </row>
    <row r="27" spans="1:14" s="8" customFormat="1" ht="15" customHeight="1">
      <c r="A27" s="765">
        <v>12117</v>
      </c>
      <c r="B27" s="760" t="s">
        <v>53</v>
      </c>
      <c r="C27" s="761">
        <v>4422.76</v>
      </c>
      <c r="D27" s="761">
        <v>3351.15</v>
      </c>
      <c r="E27" s="761">
        <v>3351.15</v>
      </c>
      <c r="F27" s="761">
        <v>3404.37</v>
      </c>
      <c r="G27" s="761">
        <v>3687.35</v>
      </c>
      <c r="H27" s="762">
        <f t="shared" si="5"/>
        <v>18216.78</v>
      </c>
      <c r="I27" s="762">
        <f t="shared" si="6"/>
        <v>3643.3559999999998</v>
      </c>
      <c r="J27" s="762">
        <f t="shared" si="4"/>
        <v>3727.8936132281997</v>
      </c>
    </row>
    <row r="28" spans="1:14" s="8" customFormat="1" ht="15" customHeight="1">
      <c r="A28" s="765">
        <v>12118</v>
      </c>
      <c r="B28" s="760" t="s">
        <v>54</v>
      </c>
      <c r="C28" s="761">
        <v>45507</v>
      </c>
      <c r="D28" s="761">
        <v>53162</v>
      </c>
      <c r="E28" s="761">
        <v>53162</v>
      </c>
      <c r="F28" s="761">
        <v>56023.37</v>
      </c>
      <c r="G28" s="761">
        <v>42473</v>
      </c>
      <c r="H28" s="762">
        <f t="shared" si="5"/>
        <v>250327.37</v>
      </c>
      <c r="I28" s="762">
        <f t="shared" si="6"/>
        <v>50065.474000000002</v>
      </c>
      <c r="J28" s="762">
        <f t="shared" si="4"/>
        <v>61347.375054568205</v>
      </c>
    </row>
    <row r="29" spans="1:14" s="8" customFormat="1" ht="15" customHeight="1">
      <c r="A29" s="765">
        <v>12119</v>
      </c>
      <c r="B29" s="760" t="s">
        <v>55</v>
      </c>
      <c r="C29" s="761">
        <v>997.5</v>
      </c>
      <c r="D29" s="761">
        <v>1124.3900000000001</v>
      </c>
      <c r="E29" s="761">
        <v>1124.3900000000001</v>
      </c>
      <c r="F29" s="761">
        <v>985.18</v>
      </c>
      <c r="G29" s="761">
        <v>847.32</v>
      </c>
      <c r="H29" s="762">
        <f t="shared" si="5"/>
        <v>5078.7800000000007</v>
      </c>
      <c r="I29" s="762">
        <f t="shared" si="6"/>
        <v>1015.7560000000001</v>
      </c>
      <c r="J29" s="762">
        <f t="shared" si="4"/>
        <v>1078.8034878347999</v>
      </c>
    </row>
    <row r="30" spans="1:14" s="8" customFormat="1" ht="15" hidden="1" customHeight="1">
      <c r="A30" s="765">
        <v>12122</v>
      </c>
      <c r="B30" s="760" t="s">
        <v>209</v>
      </c>
      <c r="C30" s="761"/>
      <c r="D30" s="761"/>
      <c r="E30" s="761"/>
      <c r="F30" s="761"/>
      <c r="G30" s="761"/>
      <c r="H30" s="762">
        <f t="shared" si="5"/>
        <v>0</v>
      </c>
      <c r="I30" s="762" t="e">
        <f t="shared" si="6"/>
        <v>#DIV/0!</v>
      </c>
      <c r="J30" s="762">
        <f t="shared" si="4"/>
        <v>0</v>
      </c>
    </row>
    <row r="31" spans="1:14" s="8" customFormat="1" ht="15" customHeight="1">
      <c r="A31" s="765">
        <v>12199</v>
      </c>
      <c r="B31" s="760" t="s">
        <v>56</v>
      </c>
      <c r="C31" s="761">
        <v>385.95</v>
      </c>
      <c r="D31" s="761">
        <v>394</v>
      </c>
      <c r="E31" s="761">
        <v>394</v>
      </c>
      <c r="F31" s="761">
        <v>776.4</v>
      </c>
      <c r="G31" s="761">
        <v>112</v>
      </c>
      <c r="H31" s="762">
        <f t="shared" si="5"/>
        <v>2062.35</v>
      </c>
      <c r="I31" s="762">
        <f t="shared" si="6"/>
        <v>412.46999999999997</v>
      </c>
      <c r="J31" s="762">
        <f t="shared" si="4"/>
        <v>850.18273610400001</v>
      </c>
    </row>
    <row r="32" spans="1:14" s="41" customFormat="1" ht="15" customHeight="1">
      <c r="A32" s="746">
        <v>122</v>
      </c>
      <c r="B32" s="755" t="s">
        <v>210</v>
      </c>
      <c r="C32" s="756">
        <f>SUM(C33:C35)</f>
        <v>38768.07</v>
      </c>
      <c r="D32" s="756">
        <f>SUM(D33:D35)</f>
        <v>23616.560000000001</v>
      </c>
      <c r="E32" s="756">
        <f>SUM(E33:E35)</f>
        <v>23616.560000000001</v>
      </c>
      <c r="F32" s="756">
        <f>SUM(F33:F35)</f>
        <v>38229.29</v>
      </c>
      <c r="G32" s="756">
        <f>SUM(G33:G35)</f>
        <v>49800.39</v>
      </c>
      <c r="H32" s="756">
        <f>SUM(C32:G32)</f>
        <v>174030.87</v>
      </c>
      <c r="I32" s="756">
        <f>H32/5</f>
        <v>34806.173999999999</v>
      </c>
      <c r="J32" s="756">
        <f>SUM(J33:J35)</f>
        <v>41862.290535179396</v>
      </c>
    </row>
    <row r="33" spans="1:10" s="40" customFormat="1" ht="15" customHeight="1">
      <c r="A33" s="759">
        <v>12210</v>
      </c>
      <c r="B33" s="760" t="s">
        <v>29</v>
      </c>
      <c r="C33" s="761">
        <v>37338.97</v>
      </c>
      <c r="D33" s="761">
        <v>21843.59</v>
      </c>
      <c r="E33" s="761">
        <v>21843.59</v>
      </c>
      <c r="F33" s="761">
        <v>36871.58</v>
      </c>
      <c r="G33" s="761">
        <v>49382.86</v>
      </c>
      <c r="H33" s="756">
        <f>SUM(C33:G33)</f>
        <v>167280.59</v>
      </c>
      <c r="I33" s="762">
        <f>H33/5</f>
        <v>33456.118000000002</v>
      </c>
      <c r="J33" s="762">
        <f>F33*9.503186%+F33</f>
        <v>40375.554828538799</v>
      </c>
    </row>
    <row r="34" spans="1:10" s="8" customFormat="1" ht="15" customHeight="1">
      <c r="A34" s="765">
        <v>12211</v>
      </c>
      <c r="B34" s="760" t="s">
        <v>30</v>
      </c>
      <c r="C34" s="761">
        <v>14.1</v>
      </c>
      <c r="D34" s="761">
        <v>22.97</v>
      </c>
      <c r="E34" s="761">
        <v>22.97</v>
      </c>
      <c r="F34" s="761">
        <v>22.71</v>
      </c>
      <c r="G34" s="761">
        <v>27.53</v>
      </c>
      <c r="H34" s="756">
        <f>SUM(C34:G34)</f>
        <v>110.28</v>
      </c>
      <c r="I34" s="762">
        <f>H34/5</f>
        <v>22.056000000000001</v>
      </c>
      <c r="J34" s="762">
        <f>F34*9.503186%+F34</f>
        <v>24.868173540600001</v>
      </c>
    </row>
    <row r="35" spans="1:10" s="8" customFormat="1" ht="15" customHeight="1">
      <c r="A35" s="765">
        <v>12299</v>
      </c>
      <c r="B35" s="760" t="s">
        <v>57</v>
      </c>
      <c r="C35" s="761">
        <v>1415</v>
      </c>
      <c r="D35" s="761">
        <v>1750</v>
      </c>
      <c r="E35" s="761">
        <v>1750</v>
      </c>
      <c r="F35" s="761">
        <v>1335</v>
      </c>
      <c r="G35" s="761">
        <v>390</v>
      </c>
      <c r="H35" s="756">
        <f>SUM(C35:G35)</f>
        <v>6640</v>
      </c>
      <c r="I35" s="762">
        <f>H35/5</f>
        <v>1328</v>
      </c>
      <c r="J35" s="762">
        <f>F35*9.503186%+F35</f>
        <v>1461.8675330999999</v>
      </c>
    </row>
    <row r="36" spans="1:10" s="45" customFormat="1" ht="15" customHeight="1">
      <c r="A36" s="746">
        <v>14</v>
      </c>
      <c r="B36" s="755" t="s">
        <v>211</v>
      </c>
      <c r="C36" s="756">
        <f t="shared" ref="C36:J36" si="7">C37</f>
        <v>12080.49</v>
      </c>
      <c r="D36" s="756">
        <f t="shared" si="7"/>
        <v>10494.92</v>
      </c>
      <c r="E36" s="757">
        <f t="shared" si="7"/>
        <v>10494.92</v>
      </c>
      <c r="F36" s="757">
        <f t="shared" si="7"/>
        <v>13465.24</v>
      </c>
      <c r="G36" s="757">
        <f t="shared" si="7"/>
        <v>13194.029999999999</v>
      </c>
      <c r="H36" s="756">
        <f t="shared" si="7"/>
        <v>46535.57</v>
      </c>
      <c r="I36" s="756">
        <f t="shared" si="7"/>
        <v>9307.1139999999996</v>
      </c>
      <c r="J36" s="756">
        <f t="shared" si="7"/>
        <v>14744.866802546399</v>
      </c>
    </row>
    <row r="37" spans="1:10" s="41" customFormat="1" ht="15" customHeight="1">
      <c r="A37" s="746">
        <v>142</v>
      </c>
      <c r="B37" s="755" t="s">
        <v>212</v>
      </c>
      <c r="C37" s="756">
        <f>SUM(C38:C40)</f>
        <v>12080.49</v>
      </c>
      <c r="D37" s="756">
        <f>SUM(D38:D40)</f>
        <v>10494.92</v>
      </c>
      <c r="E37" s="756">
        <f>SUM(E38:E40)</f>
        <v>10494.92</v>
      </c>
      <c r="F37" s="756">
        <f>SUM(F38:F40)</f>
        <v>13465.24</v>
      </c>
      <c r="G37" s="756">
        <f>SUM(G38:G40)</f>
        <v>13194.029999999999</v>
      </c>
      <c r="H37" s="756">
        <f>SUM(C37:F37)</f>
        <v>46535.57</v>
      </c>
      <c r="I37" s="756">
        <f>H37/5</f>
        <v>9307.1139999999996</v>
      </c>
      <c r="J37" s="756">
        <f>SUM(J38:J40)</f>
        <v>14744.866802546399</v>
      </c>
    </row>
    <row r="38" spans="1:10" s="8" customFormat="1" ht="15" customHeight="1">
      <c r="A38" s="765">
        <v>14201</v>
      </c>
      <c r="B38" s="764" t="s">
        <v>213</v>
      </c>
      <c r="C38" s="761">
        <v>11720.49</v>
      </c>
      <c r="D38" s="761">
        <v>9894.86</v>
      </c>
      <c r="E38" s="761">
        <v>9894.86</v>
      </c>
      <c r="F38" s="761">
        <v>12659.24</v>
      </c>
      <c r="G38" s="761">
        <v>13162.63</v>
      </c>
      <c r="H38" s="762">
        <f>SUM(C38:G38)</f>
        <v>57332.079999999994</v>
      </c>
      <c r="I38" s="762">
        <f>H38/5</f>
        <v>11466.415999999999</v>
      </c>
      <c r="J38" s="762">
        <f>F38*9.503186%+F38</f>
        <v>13862.271123386399</v>
      </c>
    </row>
    <row r="39" spans="1:10" s="8" customFormat="1" ht="15" customHeight="1">
      <c r="A39" s="765">
        <v>14299</v>
      </c>
      <c r="B39" s="760" t="s">
        <v>58</v>
      </c>
      <c r="C39" s="761">
        <v>360</v>
      </c>
      <c r="D39" s="761">
        <v>600.05999999999995</v>
      </c>
      <c r="E39" s="761">
        <v>600.05999999999995</v>
      </c>
      <c r="F39" s="761">
        <v>806</v>
      </c>
      <c r="G39" s="761">
        <v>31.4</v>
      </c>
      <c r="H39" s="762">
        <f>SUM(C39:G39)</f>
        <v>2397.52</v>
      </c>
      <c r="I39" s="762">
        <f>H39/5</f>
        <v>479.50400000000002</v>
      </c>
      <c r="J39" s="762">
        <f>F39*9.503186%+F39</f>
        <v>882.59567916000003</v>
      </c>
    </row>
    <row r="40" spans="1:10" s="8" customFormat="1" ht="15" hidden="1" customHeight="1">
      <c r="A40" s="765"/>
      <c r="B40" s="760"/>
      <c r="C40" s="761"/>
      <c r="D40" s="761"/>
      <c r="E40" s="761"/>
      <c r="F40" s="761"/>
      <c r="G40" s="761"/>
      <c r="H40" s="762">
        <f>SUM(C40:F40)</f>
        <v>0</v>
      </c>
      <c r="I40" s="762">
        <f>H40/5</f>
        <v>0</v>
      </c>
      <c r="J40" s="762">
        <f>F40*9.503186%+F40</f>
        <v>0</v>
      </c>
    </row>
    <row r="41" spans="1:10" s="45" customFormat="1" ht="15" customHeight="1">
      <c r="A41" s="766">
        <v>15</v>
      </c>
      <c r="B41" s="767" t="s">
        <v>214</v>
      </c>
      <c r="C41" s="768">
        <f>C42+C47+C49</f>
        <v>47005.069999999992</v>
      </c>
      <c r="D41" s="768">
        <f t="shared" ref="D41:J41" si="8">D42+D47+D49</f>
        <v>38026.449999999997</v>
      </c>
      <c r="E41" s="768">
        <f t="shared" si="8"/>
        <v>38027.46</v>
      </c>
      <c r="F41" s="768">
        <f t="shared" si="8"/>
        <v>5144.91</v>
      </c>
      <c r="G41" s="768">
        <f t="shared" si="8"/>
        <v>17030.78</v>
      </c>
      <c r="H41" s="769">
        <f t="shared" si="8"/>
        <v>132999.79999999999</v>
      </c>
      <c r="I41" s="768">
        <f t="shared" si="8"/>
        <v>26599.959999999995</v>
      </c>
      <c r="J41" s="768">
        <f t="shared" si="8"/>
        <v>5633.8403668325991</v>
      </c>
    </row>
    <row r="42" spans="1:10" s="41" customFormat="1" ht="15" customHeight="1">
      <c r="A42" s="766">
        <v>153</v>
      </c>
      <c r="B42" s="767" t="s">
        <v>215</v>
      </c>
      <c r="C42" s="768">
        <f t="shared" ref="C42:J42" si="9">SUM(C43:C46)</f>
        <v>4221.5499999999993</v>
      </c>
      <c r="D42" s="768">
        <f t="shared" si="9"/>
        <v>17867.82</v>
      </c>
      <c r="E42" s="768">
        <f t="shared" si="9"/>
        <v>17867.82</v>
      </c>
      <c r="F42" s="768">
        <f t="shared" si="9"/>
        <v>355.52000000000004</v>
      </c>
      <c r="G42" s="768">
        <f t="shared" si="9"/>
        <v>4795.91</v>
      </c>
      <c r="H42" s="768">
        <f t="shared" si="9"/>
        <v>45108.619999999995</v>
      </c>
      <c r="I42" s="768">
        <f t="shared" si="9"/>
        <v>9021.7239999999983</v>
      </c>
      <c r="J42" s="768">
        <f t="shared" si="9"/>
        <v>389.30572686720001</v>
      </c>
    </row>
    <row r="43" spans="1:10" s="8" customFormat="1" ht="15" customHeight="1">
      <c r="A43" s="765">
        <v>15301</v>
      </c>
      <c r="B43" s="760" t="s">
        <v>216</v>
      </c>
      <c r="C43" s="761">
        <v>2615.9699999999998</v>
      </c>
      <c r="D43" s="761">
        <v>6896.9</v>
      </c>
      <c r="E43" s="761">
        <v>6896.9</v>
      </c>
      <c r="F43" s="761">
        <v>310.97000000000003</v>
      </c>
      <c r="G43" s="761">
        <v>2932.69</v>
      </c>
      <c r="H43" s="762">
        <f>SUM(C43:G43)</f>
        <v>19653.429999999997</v>
      </c>
      <c r="I43" s="762">
        <f t="shared" ref="I43:I60" si="10">H43/5</f>
        <v>3930.6859999999992</v>
      </c>
      <c r="J43" s="762">
        <f t="shared" ref="J43:J48" si="11">F43*9.503186%+F43</f>
        <v>340.52205750420001</v>
      </c>
    </row>
    <row r="44" spans="1:10" s="8" customFormat="1" ht="15" customHeight="1">
      <c r="A44" s="765">
        <v>15302</v>
      </c>
      <c r="B44" s="760" t="s">
        <v>60</v>
      </c>
      <c r="C44" s="761">
        <v>1602.72</v>
      </c>
      <c r="D44" s="761">
        <v>10968.06</v>
      </c>
      <c r="E44" s="761">
        <v>10968.06</v>
      </c>
      <c r="F44" s="761">
        <v>44.55</v>
      </c>
      <c r="G44" s="761">
        <v>1854.64</v>
      </c>
      <c r="H44" s="762">
        <f>SUM(C44:G44)</f>
        <v>25438.029999999995</v>
      </c>
      <c r="I44" s="762">
        <f t="shared" si="10"/>
        <v>5087.6059999999989</v>
      </c>
      <c r="J44" s="762">
        <f>F44*9.503186%+F44</f>
        <v>48.783669362999994</v>
      </c>
    </row>
    <row r="45" spans="1:10" s="8" customFormat="1" ht="15" customHeight="1">
      <c r="A45" s="765">
        <v>15312</v>
      </c>
      <c r="B45" s="764" t="s">
        <v>799</v>
      </c>
      <c r="C45" s="761">
        <v>2.86</v>
      </c>
      <c r="D45" s="761">
        <v>2.86</v>
      </c>
      <c r="E45" s="761">
        <v>2.86</v>
      </c>
      <c r="F45" s="761"/>
      <c r="G45" s="761">
        <v>8.58</v>
      </c>
      <c r="H45" s="762">
        <f>SUM(C45:G45)</f>
        <v>17.16</v>
      </c>
      <c r="I45" s="762">
        <f t="shared" si="10"/>
        <v>3.4319999999999999</v>
      </c>
      <c r="J45" s="762">
        <f t="shared" si="11"/>
        <v>0</v>
      </c>
    </row>
    <row r="46" spans="1:10" s="8" customFormat="1" ht="15" hidden="1" customHeight="1">
      <c r="A46" s="765">
        <v>15314</v>
      </c>
      <c r="B46" s="763" t="s">
        <v>217</v>
      </c>
      <c r="C46" s="761"/>
      <c r="D46" s="761"/>
      <c r="E46" s="761"/>
      <c r="F46" s="761"/>
      <c r="G46" s="761"/>
      <c r="H46" s="762">
        <f t="shared" ref="H46:H60" si="12">SUM(C46:F46)</f>
        <v>0</v>
      </c>
      <c r="I46" s="762">
        <f t="shared" si="10"/>
        <v>0</v>
      </c>
      <c r="J46" s="762">
        <f t="shared" si="11"/>
        <v>0</v>
      </c>
    </row>
    <row r="47" spans="1:10" s="8" customFormat="1" ht="12" hidden="1">
      <c r="A47" s="770">
        <v>154</v>
      </c>
      <c r="B47" s="755" t="s">
        <v>218</v>
      </c>
      <c r="C47" s="757"/>
      <c r="D47" s="757"/>
      <c r="E47" s="757"/>
      <c r="F47" s="757"/>
      <c r="G47" s="757"/>
      <c r="H47" s="762">
        <f t="shared" si="12"/>
        <v>0</v>
      </c>
      <c r="I47" s="762">
        <f t="shared" si="10"/>
        <v>0</v>
      </c>
      <c r="J47" s="762">
        <f t="shared" si="11"/>
        <v>0</v>
      </c>
    </row>
    <row r="48" spans="1:10" s="8" customFormat="1" ht="12" hidden="1">
      <c r="A48" s="765">
        <v>15499</v>
      </c>
      <c r="B48" s="760" t="s">
        <v>219</v>
      </c>
      <c r="C48" s="761"/>
      <c r="D48" s="761"/>
      <c r="E48" s="761"/>
      <c r="F48" s="761"/>
      <c r="G48" s="761"/>
      <c r="H48" s="762">
        <f t="shared" si="12"/>
        <v>0</v>
      </c>
      <c r="I48" s="762">
        <f t="shared" si="10"/>
        <v>0</v>
      </c>
      <c r="J48" s="762">
        <f t="shared" si="11"/>
        <v>0</v>
      </c>
    </row>
    <row r="49" spans="1:14" s="41" customFormat="1" ht="15" customHeight="1">
      <c r="A49" s="766">
        <v>157</v>
      </c>
      <c r="B49" s="767" t="s">
        <v>220</v>
      </c>
      <c r="C49" s="768">
        <f>SUM(C50:C52)</f>
        <v>42783.519999999997</v>
      </c>
      <c r="D49" s="768">
        <f>SUM(D50:D52)</f>
        <v>20158.63</v>
      </c>
      <c r="E49" s="771">
        <f>SUM(E50:E52)</f>
        <v>20159.64</v>
      </c>
      <c r="F49" s="771">
        <f>SUM(F50:F52)</f>
        <v>4789.3899999999994</v>
      </c>
      <c r="G49" s="771">
        <f>SUM(G50:G52)</f>
        <v>12234.869999999999</v>
      </c>
      <c r="H49" s="768">
        <f t="shared" si="12"/>
        <v>87891.18</v>
      </c>
      <c r="I49" s="768">
        <f t="shared" si="10"/>
        <v>17578.235999999997</v>
      </c>
      <c r="J49" s="768">
        <f>SUM(J50:J53)</f>
        <v>5244.534639965399</v>
      </c>
    </row>
    <row r="50" spans="1:14" s="8" customFormat="1" ht="15" hidden="1" customHeight="1">
      <c r="A50" s="765">
        <v>15701</v>
      </c>
      <c r="B50" s="760" t="s">
        <v>221</v>
      </c>
      <c r="C50" s="761"/>
      <c r="D50" s="761"/>
      <c r="E50" s="761"/>
      <c r="F50" s="761"/>
      <c r="G50" s="761"/>
      <c r="H50" s="762">
        <f t="shared" si="12"/>
        <v>0</v>
      </c>
      <c r="I50" s="762">
        <f t="shared" si="10"/>
        <v>0</v>
      </c>
      <c r="J50" s="762">
        <f t="shared" ref="J50:J63" si="13">F50*9.503186%+F50</f>
        <v>0</v>
      </c>
    </row>
    <row r="51" spans="1:14" s="8" customFormat="1" ht="15" customHeight="1">
      <c r="A51" s="765">
        <v>15703</v>
      </c>
      <c r="B51" s="760" t="s">
        <v>62</v>
      </c>
      <c r="C51" s="761"/>
      <c r="D51" s="761"/>
      <c r="E51" s="761"/>
      <c r="F51" s="761">
        <v>346.7</v>
      </c>
      <c r="G51" s="761">
        <v>1.32</v>
      </c>
      <c r="H51" s="762">
        <f t="shared" si="12"/>
        <v>346.7</v>
      </c>
      <c r="I51" s="762">
        <f t="shared" si="10"/>
        <v>69.34</v>
      </c>
      <c r="J51" s="762">
        <f t="shared" si="13"/>
        <v>379.64754586200002</v>
      </c>
    </row>
    <row r="52" spans="1:14" s="8" customFormat="1" ht="15" customHeight="1">
      <c r="A52" s="765">
        <v>15799</v>
      </c>
      <c r="B52" s="760" t="s">
        <v>63</v>
      </c>
      <c r="C52" s="761">
        <v>42783.519999999997</v>
      </c>
      <c r="D52" s="761">
        <v>20158.63</v>
      </c>
      <c r="E52" s="761">
        <v>20159.64</v>
      </c>
      <c r="F52" s="761">
        <v>4442.6899999999996</v>
      </c>
      <c r="G52" s="761">
        <v>12233.55</v>
      </c>
      <c r="H52" s="762">
        <f>SUM(C52:G52)</f>
        <v>99778.03</v>
      </c>
      <c r="I52" s="762">
        <f t="shared" si="10"/>
        <v>19955.606</v>
      </c>
      <c r="J52" s="762">
        <f t="shared" si="13"/>
        <v>4864.8870941033992</v>
      </c>
      <c r="N52" s="1057">
        <f>AVERAGE(C64:G64)</f>
        <v>275426.478</v>
      </c>
    </row>
    <row r="53" spans="1:14" s="8" customFormat="1" ht="15" hidden="1" customHeight="1">
      <c r="A53" s="765"/>
      <c r="B53" s="760"/>
      <c r="C53" s="761"/>
      <c r="D53" s="761"/>
      <c r="E53" s="761"/>
      <c r="F53" s="761"/>
      <c r="G53" s="761"/>
      <c r="H53" s="762">
        <f t="shared" si="12"/>
        <v>0</v>
      </c>
      <c r="I53" s="762">
        <f t="shared" si="10"/>
        <v>0</v>
      </c>
      <c r="J53" s="762">
        <f t="shared" si="13"/>
        <v>0</v>
      </c>
    </row>
    <row r="54" spans="1:14" s="8" customFormat="1" ht="15" hidden="1" customHeight="1">
      <c r="A54" s="770">
        <v>16</v>
      </c>
      <c r="B54" s="755" t="s">
        <v>222</v>
      </c>
      <c r="C54" s="762"/>
      <c r="D54" s="760"/>
      <c r="E54" s="761"/>
      <c r="F54" s="761"/>
      <c r="G54" s="761"/>
      <c r="H54" s="756">
        <f t="shared" si="12"/>
        <v>0</v>
      </c>
      <c r="I54" s="762">
        <f t="shared" si="10"/>
        <v>0</v>
      </c>
      <c r="J54" s="762">
        <f t="shared" si="13"/>
        <v>0</v>
      </c>
    </row>
    <row r="55" spans="1:14" s="8" customFormat="1" ht="15" hidden="1" customHeight="1">
      <c r="A55" s="770">
        <v>162</v>
      </c>
      <c r="B55" s="755" t="s">
        <v>223</v>
      </c>
      <c r="C55" s="762"/>
      <c r="D55" s="760"/>
      <c r="E55" s="761"/>
      <c r="F55" s="761"/>
      <c r="G55" s="761"/>
      <c r="H55" s="756">
        <f t="shared" si="12"/>
        <v>0</v>
      </c>
      <c r="I55" s="762">
        <f t="shared" si="10"/>
        <v>0</v>
      </c>
      <c r="J55" s="762">
        <f t="shared" si="13"/>
        <v>0</v>
      </c>
    </row>
    <row r="56" spans="1:14" s="8" customFormat="1" ht="15" hidden="1" customHeight="1">
      <c r="A56" s="765">
        <v>16201</v>
      </c>
      <c r="B56" s="760" t="s">
        <v>64</v>
      </c>
      <c r="C56" s="762"/>
      <c r="D56" s="760"/>
      <c r="E56" s="761"/>
      <c r="F56" s="761"/>
      <c r="G56" s="761"/>
      <c r="H56" s="756">
        <f t="shared" si="12"/>
        <v>0</v>
      </c>
      <c r="I56" s="762">
        <f t="shared" si="10"/>
        <v>0</v>
      </c>
      <c r="J56" s="762">
        <f t="shared" si="13"/>
        <v>0</v>
      </c>
    </row>
    <row r="57" spans="1:14" s="8" customFormat="1" ht="15" hidden="1" customHeight="1">
      <c r="A57" s="765"/>
      <c r="B57" s="760"/>
      <c r="C57" s="762"/>
      <c r="D57" s="760"/>
      <c r="E57" s="761"/>
      <c r="F57" s="761"/>
      <c r="G57" s="761"/>
      <c r="H57" s="756">
        <f t="shared" si="12"/>
        <v>0</v>
      </c>
      <c r="I57" s="762">
        <f t="shared" si="10"/>
        <v>0</v>
      </c>
      <c r="J57" s="762">
        <f t="shared" si="13"/>
        <v>0</v>
      </c>
    </row>
    <row r="58" spans="1:14" s="8" customFormat="1" ht="15" hidden="1" customHeight="1">
      <c r="A58" s="770">
        <v>22</v>
      </c>
      <c r="B58" s="755" t="s">
        <v>224</v>
      </c>
      <c r="C58" s="762"/>
      <c r="D58" s="760"/>
      <c r="E58" s="761"/>
      <c r="F58" s="761"/>
      <c r="G58" s="761"/>
      <c r="H58" s="756">
        <f t="shared" si="12"/>
        <v>0</v>
      </c>
      <c r="I58" s="762">
        <f t="shared" si="10"/>
        <v>0</v>
      </c>
      <c r="J58" s="762">
        <f t="shared" si="13"/>
        <v>0</v>
      </c>
    </row>
    <row r="59" spans="1:14" s="8" customFormat="1" ht="15" hidden="1" customHeight="1">
      <c r="A59" s="770">
        <v>222</v>
      </c>
      <c r="B59" s="755" t="s">
        <v>225</v>
      </c>
      <c r="C59" s="762"/>
      <c r="D59" s="760"/>
      <c r="E59" s="757">
        <f>SUM(E60:E60)</f>
        <v>0</v>
      </c>
      <c r="F59" s="757">
        <f>SUM(F60:F60)</f>
        <v>0</v>
      </c>
      <c r="G59" s="757"/>
      <c r="H59" s="756">
        <f t="shared" si="12"/>
        <v>0</v>
      </c>
      <c r="I59" s="762">
        <f t="shared" si="10"/>
        <v>0</v>
      </c>
      <c r="J59" s="762">
        <f t="shared" si="13"/>
        <v>0</v>
      </c>
    </row>
    <row r="60" spans="1:14" s="8" customFormat="1" ht="15" hidden="1" customHeight="1">
      <c r="A60" s="765">
        <v>22201</v>
      </c>
      <c r="B60" s="760" t="s">
        <v>65</v>
      </c>
      <c r="C60" s="762"/>
      <c r="D60" s="760"/>
      <c r="E60" s="761"/>
      <c r="F60" s="761"/>
      <c r="G60" s="761"/>
      <c r="H60" s="756">
        <f t="shared" si="12"/>
        <v>0</v>
      </c>
      <c r="I60" s="762">
        <f t="shared" si="10"/>
        <v>0</v>
      </c>
      <c r="J60" s="762">
        <f t="shared" si="13"/>
        <v>0</v>
      </c>
    </row>
    <row r="61" spans="1:14" s="40" customFormat="1" ht="15" customHeight="1">
      <c r="A61" s="746">
        <v>32</v>
      </c>
      <c r="B61" s="755" t="s">
        <v>226</v>
      </c>
      <c r="C61" s="757">
        <f t="shared" ref="C61:H61" si="14">C62</f>
        <v>42687.869999999995</v>
      </c>
      <c r="D61" s="757">
        <f t="shared" si="14"/>
        <v>40545.629999999997</v>
      </c>
      <c r="E61" s="757">
        <f t="shared" si="14"/>
        <v>40546.629999999997</v>
      </c>
      <c r="F61" s="757">
        <f t="shared" si="14"/>
        <v>57532.020000000004</v>
      </c>
      <c r="G61" s="757">
        <f t="shared" si="14"/>
        <v>45435.360000000001</v>
      </c>
      <c r="H61" s="756">
        <f t="shared" si="14"/>
        <v>181312.15000000002</v>
      </c>
      <c r="I61" s="756">
        <f>H61/5</f>
        <v>36262.430000000008</v>
      </c>
      <c r="J61" s="762">
        <f t="shared" si="13"/>
        <v>62999.394870157208</v>
      </c>
    </row>
    <row r="62" spans="1:14" s="41" customFormat="1" ht="15" customHeight="1">
      <c r="A62" s="746">
        <v>322</v>
      </c>
      <c r="B62" s="755" t="s">
        <v>227</v>
      </c>
      <c r="C62" s="757">
        <f>SUM(C63:C63)</f>
        <v>42687.869999999995</v>
      </c>
      <c r="D62" s="757">
        <f>SUM(D63:D63)</f>
        <v>40545.629999999997</v>
      </c>
      <c r="E62" s="757">
        <f>SUM(E63:E63)</f>
        <v>40546.629999999997</v>
      </c>
      <c r="F62" s="757">
        <f>SUM(F63:F63)</f>
        <v>57532.020000000004</v>
      </c>
      <c r="G62" s="757">
        <f>SUM(G63:G63)</f>
        <v>45435.360000000001</v>
      </c>
      <c r="H62" s="756">
        <f>SUM(C62:F62)</f>
        <v>181312.15000000002</v>
      </c>
      <c r="I62" s="756">
        <f>H62/5</f>
        <v>36262.430000000008</v>
      </c>
      <c r="J62" s="762">
        <f t="shared" si="13"/>
        <v>62999.394870157208</v>
      </c>
    </row>
    <row r="63" spans="1:14" s="8" customFormat="1" ht="15" customHeight="1">
      <c r="A63" s="765">
        <v>32201</v>
      </c>
      <c r="B63" s="760" t="s">
        <v>923</v>
      </c>
      <c r="C63" s="761">
        <f>8171.85+34516.02</f>
        <v>42687.869999999995</v>
      </c>
      <c r="D63" s="761">
        <v>40545.629999999997</v>
      </c>
      <c r="E63" s="761">
        <v>40546.629999999997</v>
      </c>
      <c r="F63" s="761">
        <f>12465.16+45066.86</f>
        <v>57532.020000000004</v>
      </c>
      <c r="G63" s="761">
        <f>44169.79+1265.57</f>
        <v>45435.360000000001</v>
      </c>
      <c r="H63" s="762">
        <f>SUM(C63:F63)</f>
        <v>181312.15000000002</v>
      </c>
      <c r="I63" s="762">
        <f>H63/5</f>
        <v>36262.430000000008</v>
      </c>
      <c r="J63" s="762">
        <f t="shared" si="13"/>
        <v>62999.394870157208</v>
      </c>
    </row>
    <row r="64" spans="1:14" s="40" customFormat="1" ht="15" customHeight="1">
      <c r="A64" s="772"/>
      <c r="B64" s="767" t="s">
        <v>72</v>
      </c>
      <c r="C64" s="768">
        <f t="shared" ref="C64:I64" si="15">C7+C18+C32+C37+C42+C47+C49+C55+C59+C62</f>
        <v>263036.14999999997</v>
      </c>
      <c r="D64" s="768">
        <f t="shared" si="15"/>
        <v>273895.19</v>
      </c>
      <c r="E64" s="771">
        <f t="shared" si="15"/>
        <v>273897.2</v>
      </c>
      <c r="F64" s="771">
        <f t="shared" si="15"/>
        <v>276024.33</v>
      </c>
      <c r="G64" s="771">
        <f t="shared" si="15"/>
        <v>290279.52</v>
      </c>
      <c r="H64" s="768">
        <f t="shared" si="15"/>
        <v>1306268.1299999999</v>
      </c>
      <c r="I64" s="768">
        <f t="shared" si="15"/>
        <v>261253.62599999999</v>
      </c>
      <c r="J64" s="768">
        <f>J7+J18+J32+J37+J42+J47+J49+J55+J59+J63</f>
        <v>302478.82198459381</v>
      </c>
      <c r="M64" s="1043">
        <f>AVERAGE(C64:G64)</f>
        <v>275426.478</v>
      </c>
    </row>
    <row r="65" spans="1:10" s="8" customFormat="1" ht="15" customHeight="1">
      <c r="A65" s="31"/>
      <c r="B65" s="748"/>
      <c r="C65" s="3"/>
      <c r="D65" s="17"/>
      <c r="E65" s="39"/>
      <c r="F65" s="39"/>
      <c r="G65" s="39"/>
      <c r="H65" s="3"/>
      <c r="I65" s="3"/>
      <c r="J65" s="3"/>
    </row>
    <row r="66" spans="1:10" s="8" customFormat="1" ht="5.25" customHeight="1">
      <c r="A66" s="31"/>
      <c r="B66" s="748"/>
      <c r="C66" s="17"/>
      <c r="D66" s="17"/>
      <c r="E66" s="39"/>
      <c r="F66" s="39"/>
      <c r="G66" s="39"/>
      <c r="H66" s="3"/>
      <c r="I66" s="3"/>
      <c r="J66" s="3"/>
    </row>
    <row r="67" spans="1:10" s="8" customFormat="1" ht="33" customHeight="1">
      <c r="A67" s="1601" t="s">
        <v>988</v>
      </c>
      <c r="B67" s="1601"/>
      <c r="C67" s="1601"/>
      <c r="D67" s="1601"/>
      <c r="E67" s="1601"/>
      <c r="F67" s="1601"/>
      <c r="G67" s="1601"/>
      <c r="H67" s="1601"/>
      <c r="I67" s="1601"/>
      <c r="J67" s="1601"/>
    </row>
    <row r="70" spans="1:10">
      <c r="B70" s="40" t="s">
        <v>899</v>
      </c>
    </row>
    <row r="71" spans="1:10" ht="15.75">
      <c r="B71" s="749"/>
      <c r="C71" s="747"/>
      <c r="D71" s="747"/>
      <c r="E71" s="747"/>
      <c r="F71" s="747"/>
      <c r="G71" s="747"/>
      <c r="H71" s="747"/>
      <c r="I71" s="747"/>
    </row>
  </sheetData>
  <mergeCells count="5">
    <mergeCell ref="B1:J1"/>
    <mergeCell ref="B2:J2"/>
    <mergeCell ref="A3:J3"/>
    <mergeCell ref="A4:J4"/>
    <mergeCell ref="A67:J67"/>
  </mergeCells>
  <phoneticPr fontId="10" type="noConversion"/>
  <pageMargins left="0.55118110236220474" right="0" top="0.39370078740157483" bottom="0.19685039370078741" header="7.874015748031496E-2" footer="0"/>
  <pageSetup scale="75" orientation="landscape"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H36"/>
  <sheetViews>
    <sheetView topLeftCell="A9" zoomScaleNormal="100" workbookViewId="0">
      <selection sqref="A1:D34"/>
    </sheetView>
  </sheetViews>
  <sheetFormatPr baseColWidth="10" defaultRowHeight="12.75"/>
  <cols>
    <col min="2" max="2" width="18.28515625" customWidth="1"/>
    <col min="3" max="3" width="25.140625" customWidth="1"/>
    <col min="4" max="4" width="24.5703125" customWidth="1"/>
  </cols>
  <sheetData>
    <row r="1" spans="1:4" ht="18">
      <c r="A1" s="1518" t="s">
        <v>903</v>
      </c>
      <c r="B1" s="1518"/>
      <c r="C1" s="1518"/>
      <c r="D1" s="1518"/>
    </row>
    <row r="2" spans="1:4" ht="18">
      <c r="A2" s="1517" t="s">
        <v>1054</v>
      </c>
      <c r="B2" s="1518"/>
      <c r="C2" s="1518"/>
      <c r="D2" s="1518"/>
    </row>
    <row r="3" spans="1:4" ht="18">
      <c r="A3" s="1517" t="s">
        <v>904</v>
      </c>
      <c r="B3" s="1518"/>
      <c r="C3" s="1518"/>
      <c r="D3" s="1518"/>
    </row>
    <row r="4" spans="1:4" ht="18">
      <c r="A4" s="1239"/>
      <c r="B4" s="1240"/>
      <c r="C4" s="1240"/>
      <c r="D4" s="1240"/>
    </row>
    <row r="5" spans="1:4" ht="15">
      <c r="A5" s="15"/>
      <c r="B5" s="15"/>
      <c r="C5" s="3"/>
      <c r="D5" s="3"/>
    </row>
    <row r="6" spans="1:4" ht="36">
      <c r="A6" s="526" t="s">
        <v>198</v>
      </c>
      <c r="B6" s="526" t="s">
        <v>228</v>
      </c>
      <c r="C6" s="527" t="s">
        <v>229</v>
      </c>
      <c r="D6" s="526" t="s">
        <v>230</v>
      </c>
    </row>
    <row r="7" spans="1:4" ht="15">
      <c r="A7" s="524">
        <v>2018</v>
      </c>
      <c r="B7" s="524">
        <v>-2</v>
      </c>
      <c r="C7" s="525">
        <f>'Media Simple 5 años ingresos'!C64</f>
        <v>263036.14999999997</v>
      </c>
      <c r="D7" s="525">
        <f>C7*B7</f>
        <v>-526072.29999999993</v>
      </c>
    </row>
    <row r="8" spans="1:4" ht="15">
      <c r="A8" s="394">
        <v>2019</v>
      </c>
      <c r="B8" s="394">
        <v>-1</v>
      </c>
      <c r="C8" s="395">
        <f>'Media Simple 5 años ingresos'!D64</f>
        <v>273895.19</v>
      </c>
      <c r="D8" s="395">
        <f>C8*B8</f>
        <v>-273895.19</v>
      </c>
    </row>
    <row r="9" spans="1:4" ht="15">
      <c r="A9" s="394">
        <v>2020</v>
      </c>
      <c r="B9" s="394">
        <v>0</v>
      </c>
      <c r="C9" s="395">
        <f>'Media Simple 5 años ingresos'!E64</f>
        <v>273897.2</v>
      </c>
      <c r="D9" s="395">
        <f>C9*B9</f>
        <v>0</v>
      </c>
    </row>
    <row r="10" spans="1:4" ht="15">
      <c r="A10" s="394">
        <v>2021</v>
      </c>
      <c r="B10" s="394">
        <v>1</v>
      </c>
      <c r="C10" s="395">
        <f>'Media Simple 5 años ingresos'!F64</f>
        <v>276024.33</v>
      </c>
      <c r="D10" s="395">
        <f>C10*B10</f>
        <v>276024.33</v>
      </c>
    </row>
    <row r="11" spans="1:4" ht="15">
      <c r="A11" s="394">
        <v>2022</v>
      </c>
      <c r="B11" s="394">
        <v>2</v>
      </c>
      <c r="C11" s="395">
        <f>'Media Simple 5 años ingresos'!G64</f>
        <v>290279.52</v>
      </c>
      <c r="D11" s="395">
        <f>C11*B11</f>
        <v>580559.04</v>
      </c>
    </row>
    <row r="12" spans="1:4" ht="15.75" thickBot="1">
      <c r="A12" s="528" t="s">
        <v>72</v>
      </c>
      <c r="B12" s="528"/>
      <c r="C12" s="529">
        <f>SUM(C7:C11)</f>
        <v>1377132.3900000001</v>
      </c>
      <c r="D12" s="529">
        <f>SUM(D7:D11)</f>
        <v>56615.880000000063</v>
      </c>
    </row>
    <row r="13" spans="1:4" ht="15.75" thickTop="1">
      <c r="A13" s="15"/>
      <c r="B13" s="15"/>
      <c r="C13" s="17"/>
      <c r="D13" s="3"/>
    </row>
    <row r="14" spans="1:4" ht="15">
      <c r="A14" s="15"/>
      <c r="B14" s="15"/>
      <c r="C14" s="3"/>
      <c r="D14" s="3"/>
    </row>
    <row r="15" spans="1:4" ht="15">
      <c r="A15" s="1602" t="s">
        <v>856</v>
      </c>
      <c r="B15" s="1602"/>
      <c r="C15" s="1602"/>
      <c r="D15" s="1602"/>
    </row>
    <row r="16" spans="1:4" ht="15">
      <c r="A16" s="1607" t="s">
        <v>1033</v>
      </c>
      <c r="B16" s="1602"/>
      <c r="C16" s="1602"/>
      <c r="D16" s="1602"/>
    </row>
    <row r="17" spans="1:8" ht="15">
      <c r="A17" s="3"/>
      <c r="B17" s="3"/>
      <c r="C17" s="3"/>
      <c r="D17" s="3"/>
    </row>
    <row r="18" spans="1:8" ht="15">
      <c r="A18" s="15" t="s">
        <v>231</v>
      </c>
      <c r="B18" s="16" t="s">
        <v>395</v>
      </c>
      <c r="C18" s="17">
        <f>C12/5</f>
        <v>275426.478</v>
      </c>
      <c r="D18" s="1608" t="s">
        <v>853</v>
      </c>
    </row>
    <row r="19" spans="1:8" ht="15">
      <c r="A19" s="15"/>
      <c r="B19" s="15" t="s">
        <v>232</v>
      </c>
      <c r="C19" s="3"/>
      <c r="D19" s="1609"/>
    </row>
    <row r="20" spans="1:8" ht="15">
      <c r="A20" s="15"/>
      <c r="B20" s="3"/>
      <c r="C20" s="3"/>
      <c r="D20" s="3"/>
    </row>
    <row r="21" spans="1:8" ht="15">
      <c r="A21" s="15" t="s">
        <v>233</v>
      </c>
      <c r="B21" s="16" t="s">
        <v>396</v>
      </c>
      <c r="C21" s="17">
        <f>D12/10</f>
        <v>5661.5880000000061</v>
      </c>
      <c r="D21" s="1610" t="s">
        <v>854</v>
      </c>
    </row>
    <row r="22" spans="1:8" ht="15">
      <c r="A22" s="15"/>
      <c r="B22" s="15">
        <v>10</v>
      </c>
      <c r="C22" s="3"/>
      <c r="D22" s="1611"/>
    </row>
    <row r="23" spans="1:8" ht="15">
      <c r="A23" s="15"/>
      <c r="B23" s="3"/>
      <c r="C23" s="3"/>
      <c r="D23" s="1611"/>
    </row>
    <row r="24" spans="1:8" ht="15">
      <c r="A24" s="18" t="s">
        <v>234</v>
      </c>
      <c r="B24" s="1612" t="s">
        <v>855</v>
      </c>
      <c r="C24" s="1612"/>
      <c r="D24" s="3"/>
    </row>
    <row r="25" spans="1:8" ht="15">
      <c r="A25" s="15"/>
      <c r="B25" s="15"/>
      <c r="C25" s="3"/>
      <c r="D25" s="3"/>
      <c r="H25" s="203" t="s">
        <v>423</v>
      </c>
    </row>
    <row r="26" spans="1:8" ht="15">
      <c r="A26" s="15" t="s">
        <v>235</v>
      </c>
      <c r="B26" s="19">
        <f>C18</f>
        <v>275426.478</v>
      </c>
      <c r="C26" s="17">
        <f>C21</f>
        <v>5661.5880000000061</v>
      </c>
      <c r="D26" s="20" t="s">
        <v>236</v>
      </c>
    </row>
    <row r="27" spans="1:8" ht="15">
      <c r="A27" s="15" t="s">
        <v>235</v>
      </c>
      <c r="B27" s="19">
        <f>B26</f>
        <v>275426.478</v>
      </c>
      <c r="C27" s="17">
        <f>C26*3</f>
        <v>16984.764000000017</v>
      </c>
      <c r="D27" s="3"/>
    </row>
    <row r="28" spans="1:8" ht="15">
      <c r="A28" s="15" t="s">
        <v>235</v>
      </c>
      <c r="B28" s="21">
        <f>B27+C27</f>
        <v>292411.24200000003</v>
      </c>
      <c r="C28" s="1603" t="s">
        <v>1024</v>
      </c>
      <c r="D28" s="1603"/>
    </row>
    <row r="29" spans="1:8" ht="15">
      <c r="A29" s="15"/>
      <c r="B29" s="15"/>
      <c r="C29" s="3"/>
      <c r="D29" s="3"/>
    </row>
    <row r="30" spans="1:8" ht="15">
      <c r="A30" s="22" t="s">
        <v>237</v>
      </c>
      <c r="B30" s="23">
        <f>B28</f>
        <v>292411.24200000003</v>
      </c>
      <c r="C30" s="24">
        <f>C11</f>
        <v>290279.52</v>
      </c>
      <c r="D30" s="24">
        <f>B30-C30</f>
        <v>2131.7220000000088</v>
      </c>
    </row>
    <row r="31" spans="1:8" ht="15">
      <c r="A31" s="22"/>
      <c r="B31" s="1604">
        <f>C11</f>
        <v>290279.52</v>
      </c>
      <c r="C31" s="1604"/>
      <c r="D31" s="17">
        <f>B31</f>
        <v>290279.52</v>
      </c>
    </row>
    <row r="32" spans="1:8" ht="15">
      <c r="A32" s="15"/>
      <c r="B32" s="15"/>
      <c r="C32" s="3"/>
      <c r="D32" s="3"/>
    </row>
    <row r="33" spans="1:4" ht="15">
      <c r="A33" s="22" t="s">
        <v>238</v>
      </c>
      <c r="B33" s="25">
        <f>D30/D31</f>
        <v>7.3436872156878606E-3</v>
      </c>
      <c r="C33" s="3"/>
      <c r="D33" s="3"/>
    </row>
    <row r="34" spans="1:4" ht="34.5" customHeight="1">
      <c r="A34" s="26" t="s">
        <v>238</v>
      </c>
      <c r="B34" s="27">
        <f>B33*1</f>
        <v>7.3436872156878606E-3</v>
      </c>
      <c r="C34" s="1605" t="s">
        <v>1032</v>
      </c>
      <c r="D34" s="1606"/>
    </row>
    <row r="35" spans="1:4">
      <c r="A35" s="5"/>
      <c r="B35" s="5"/>
    </row>
    <row r="36" spans="1:4">
      <c r="A36" s="203"/>
    </row>
  </sheetData>
  <mergeCells count="11">
    <mergeCell ref="B31:C31"/>
    <mergeCell ref="C34:D34"/>
    <mergeCell ref="A16:D16"/>
    <mergeCell ref="D18:D19"/>
    <mergeCell ref="D21:D23"/>
    <mergeCell ref="B24:C24"/>
    <mergeCell ref="A1:D1"/>
    <mergeCell ref="A2:D2"/>
    <mergeCell ref="A3:D3"/>
    <mergeCell ref="A15:D15"/>
    <mergeCell ref="C28:D28"/>
  </mergeCells>
  <phoneticPr fontId="10" type="noConversion"/>
  <pageMargins left="0.94488188976377963" right="0.74803149606299213" top="0.70866141732283472" bottom="0.98425196850393704" header="0" footer="0"/>
  <pageSetup orientation="portrait"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2:T112"/>
  <sheetViews>
    <sheetView view="pageBreakPreview" topLeftCell="A60" zoomScale="95" zoomScaleNormal="90" zoomScaleSheetLayoutView="95" workbookViewId="0">
      <selection activeCell="B76" sqref="B76:Q108"/>
    </sheetView>
  </sheetViews>
  <sheetFormatPr baseColWidth="10" defaultRowHeight="12.75"/>
  <cols>
    <col min="1" max="1" width="4.42578125" style="642" customWidth="1"/>
    <col min="2" max="2" width="28.140625" style="538" customWidth="1"/>
    <col min="3" max="3" width="19.28515625" customWidth="1"/>
    <col min="4" max="4" width="18.5703125" customWidth="1"/>
    <col min="5" max="5" width="5.140625" customWidth="1"/>
    <col min="6" max="6" width="12.7109375" customWidth="1"/>
    <col min="7" max="7" width="12.140625" customWidth="1"/>
    <col min="8" max="8" width="14.7109375" customWidth="1"/>
    <col min="9" max="9" width="13.5703125" bestFit="1" customWidth="1"/>
    <col min="10" max="10" width="12.42578125" customWidth="1"/>
    <col min="11" max="11" width="13.140625" bestFit="1" customWidth="1"/>
    <col min="12" max="12" width="7.7109375" hidden="1" customWidth="1"/>
    <col min="13" max="13" width="12.5703125" customWidth="1"/>
    <col min="14" max="14" width="9.5703125" customWidth="1"/>
    <col min="15" max="16" width="12.28515625" customWidth="1"/>
    <col min="17" max="17" width="13.5703125" customWidth="1"/>
  </cols>
  <sheetData>
    <row r="2" spans="1:18" s="40" customFormat="1" ht="22.5" customHeight="1">
      <c r="A2" s="1691" t="s">
        <v>905</v>
      </c>
      <c r="B2" s="1691"/>
      <c r="C2" s="1691"/>
      <c r="D2" s="1691"/>
      <c r="E2" s="1691"/>
      <c r="F2" s="1691"/>
      <c r="G2" s="1691"/>
      <c r="H2" s="1691"/>
      <c r="I2" s="1691"/>
      <c r="J2" s="1691"/>
      <c r="K2" s="1691"/>
      <c r="L2" s="1691"/>
      <c r="M2" s="1691"/>
      <c r="N2" s="1691"/>
      <c r="O2" s="1691"/>
      <c r="P2" s="1691"/>
      <c r="Q2" s="1691"/>
    </row>
    <row r="3" spans="1:18" s="40" customFormat="1" ht="21" customHeight="1">
      <c r="A3" s="1692" t="s">
        <v>1003</v>
      </c>
      <c r="B3" s="1691"/>
      <c r="C3" s="1691"/>
      <c r="D3" s="1691"/>
      <c r="E3" s="1691"/>
      <c r="F3" s="1691"/>
      <c r="G3" s="1691"/>
      <c r="H3" s="1691"/>
      <c r="I3" s="1691"/>
      <c r="J3" s="1691"/>
      <c r="K3" s="1691"/>
      <c r="L3" s="1691"/>
      <c r="M3" s="1691"/>
      <c r="N3" s="1691"/>
      <c r="O3" s="1691"/>
      <c r="P3" s="1691"/>
      <c r="Q3" s="1691"/>
    </row>
    <row r="4" spans="1:18" s="40" customFormat="1" ht="23.25" customHeight="1" thickBot="1">
      <c r="A4" s="1691" t="s">
        <v>906</v>
      </c>
      <c r="B4" s="1691"/>
      <c r="C4" s="1691"/>
      <c r="D4" s="1691"/>
      <c r="E4" s="1691"/>
      <c r="F4" s="1691"/>
      <c r="G4" s="1691"/>
      <c r="H4" s="1691"/>
      <c r="I4" s="1691"/>
      <c r="J4" s="1691"/>
      <c r="K4" s="1691"/>
      <c r="L4" s="1691"/>
      <c r="M4" s="1691"/>
      <c r="N4" s="1691"/>
      <c r="O4" s="1691"/>
      <c r="P4" s="1691"/>
      <c r="Q4" s="1691"/>
    </row>
    <row r="5" spans="1:18" s="219" customFormat="1" ht="15.75">
      <c r="A5" s="1693" t="s">
        <v>239</v>
      </c>
      <c r="B5" s="1696" t="s">
        <v>240</v>
      </c>
      <c r="C5" s="1697" t="s">
        <v>241</v>
      </c>
      <c r="D5" s="1696" t="s">
        <v>242</v>
      </c>
      <c r="E5" s="1697" t="s">
        <v>243</v>
      </c>
      <c r="F5" s="1697" t="s">
        <v>244</v>
      </c>
      <c r="G5" s="1697" t="s">
        <v>245</v>
      </c>
      <c r="H5" s="1697"/>
      <c r="I5" s="1697" t="s">
        <v>413</v>
      </c>
      <c r="J5" s="1697"/>
      <c r="K5" s="1696" t="s">
        <v>246</v>
      </c>
      <c r="L5" s="1696"/>
      <c r="M5" s="1696"/>
      <c r="N5" s="1696"/>
      <c r="O5" s="1696"/>
      <c r="P5" s="1696"/>
      <c r="Q5" s="1696" t="s">
        <v>165</v>
      </c>
      <c r="R5" s="585"/>
    </row>
    <row r="6" spans="1:18" s="219" customFormat="1" ht="15.75">
      <c r="A6" s="1694"/>
      <c r="B6" s="1696"/>
      <c r="C6" s="1698"/>
      <c r="D6" s="1699"/>
      <c r="E6" s="1698"/>
      <c r="F6" s="1697"/>
      <c r="G6" s="1697"/>
      <c r="H6" s="1697"/>
      <c r="I6" s="1697"/>
      <c r="J6" s="1697"/>
      <c r="K6" s="973" t="s">
        <v>908</v>
      </c>
      <c r="L6" s="1702" t="s">
        <v>907</v>
      </c>
      <c r="M6" s="1702"/>
      <c r="N6" s="1702"/>
      <c r="O6" s="1702"/>
      <c r="P6" s="1697" t="s">
        <v>415</v>
      </c>
      <c r="Q6" s="1696"/>
      <c r="R6" s="585"/>
    </row>
    <row r="7" spans="1:18" s="219" customFormat="1" ht="44.25" customHeight="1" thickBot="1">
      <c r="A7" s="1695"/>
      <c r="B7" s="1696"/>
      <c r="C7" s="1698"/>
      <c r="D7" s="1699"/>
      <c r="E7" s="1700"/>
      <c r="F7" s="1701"/>
      <c r="G7" s="584" t="s">
        <v>247</v>
      </c>
      <c r="H7" s="584" t="s">
        <v>248</v>
      </c>
      <c r="I7" s="563" t="s">
        <v>1007</v>
      </c>
      <c r="J7" s="584" t="s">
        <v>249</v>
      </c>
      <c r="K7" s="584" t="s">
        <v>437</v>
      </c>
      <c r="L7" s="974" t="s">
        <v>452</v>
      </c>
      <c r="M7" s="563" t="s">
        <v>250</v>
      </c>
      <c r="N7" s="563" t="s">
        <v>451</v>
      </c>
      <c r="O7" s="563" t="s">
        <v>251</v>
      </c>
      <c r="P7" s="1697"/>
      <c r="Q7" s="1696"/>
      <c r="R7" s="585"/>
    </row>
    <row r="8" spans="1:18" s="595" customFormat="1" ht="18" customHeight="1">
      <c r="A8" s="631">
        <v>1</v>
      </c>
      <c r="B8" s="852" t="s">
        <v>660</v>
      </c>
      <c r="C8" s="588" t="s">
        <v>253</v>
      </c>
      <c r="D8" s="588" t="s">
        <v>254</v>
      </c>
      <c r="E8" s="589" t="s">
        <v>255</v>
      </c>
      <c r="F8" s="590" t="s">
        <v>256</v>
      </c>
      <c r="G8" s="591">
        <f>3820</f>
        <v>3820</v>
      </c>
      <c r="H8" s="592">
        <f>G8*12</f>
        <v>45840</v>
      </c>
      <c r="I8" s="592">
        <v>600</v>
      </c>
      <c r="J8" s="592">
        <f>G8</f>
        <v>3820</v>
      </c>
      <c r="K8" s="592">
        <f>H8*7.75%</f>
        <v>3552.6</v>
      </c>
      <c r="L8" s="592"/>
      <c r="M8" s="592">
        <f>IF(G8&gt;1000,1000*7.5%*12,G8*7.5%*12)</f>
        <v>900</v>
      </c>
      <c r="N8" s="592"/>
      <c r="O8" s="592">
        <f>IF(G8&gt;1000,1000*1%*12,G8*1%*12)</f>
        <v>120</v>
      </c>
      <c r="P8" s="592">
        <f>SUM(I8:O8)</f>
        <v>8992.6</v>
      </c>
      <c r="Q8" s="593">
        <f>SUM(H8+P8)</f>
        <v>54832.6</v>
      </c>
      <c r="R8" s="594"/>
    </row>
    <row r="9" spans="1:18" s="595" customFormat="1" ht="17.25" customHeight="1">
      <c r="A9" s="631">
        <v>2</v>
      </c>
      <c r="B9" s="609" t="s">
        <v>662</v>
      </c>
      <c r="C9" s="588" t="s">
        <v>661</v>
      </c>
      <c r="D9" s="588" t="s">
        <v>1090</v>
      </c>
      <c r="E9" s="597" t="s">
        <v>255</v>
      </c>
      <c r="F9" s="590" t="s">
        <v>256</v>
      </c>
      <c r="G9" s="591">
        <v>2000</v>
      </c>
      <c r="H9" s="592">
        <f>G9*12</f>
        <v>24000</v>
      </c>
      <c r="I9" s="592">
        <v>600</v>
      </c>
      <c r="J9" s="592">
        <f>G9</f>
        <v>2000</v>
      </c>
      <c r="K9" s="592">
        <f>H9*7.75%</f>
        <v>1860</v>
      </c>
      <c r="L9" s="592"/>
      <c r="M9" s="592">
        <f>IF(G9&gt;1000,1000*7.5%*12,G9*7.5%*12)</f>
        <v>900</v>
      </c>
      <c r="N9" s="592"/>
      <c r="O9" s="592">
        <f>IF(G9&gt;1000,1000*1%*12,G9*1%*12)</f>
        <v>120</v>
      </c>
      <c r="P9" s="592">
        <f>SUM(I9:O9)</f>
        <v>5480</v>
      </c>
      <c r="Q9" s="593">
        <f>SUM(H9+P9)</f>
        <v>29480</v>
      </c>
      <c r="R9" s="598"/>
    </row>
    <row r="10" spans="1:18" s="595" customFormat="1" ht="17.25" customHeight="1">
      <c r="A10" s="631">
        <v>3</v>
      </c>
      <c r="B10" s="609" t="s">
        <v>663</v>
      </c>
      <c r="C10" s="588" t="s">
        <v>258</v>
      </c>
      <c r="D10" s="599" t="s">
        <v>258</v>
      </c>
      <c r="E10" s="597" t="s">
        <v>255</v>
      </c>
      <c r="F10" s="590" t="s">
        <v>256</v>
      </c>
      <c r="G10" s="591">
        <v>750</v>
      </c>
      <c r="H10" s="592">
        <f>G10*12</f>
        <v>9000</v>
      </c>
      <c r="I10" s="592">
        <v>600</v>
      </c>
      <c r="J10" s="592">
        <f>G10</f>
        <v>750</v>
      </c>
      <c r="K10" s="592">
        <f>H10*7.75%</f>
        <v>697.5</v>
      </c>
      <c r="L10" s="592"/>
      <c r="M10" s="592">
        <f>IF(G10&gt;1000,1000*7.5%*12,G10*7.5%*12)</f>
        <v>675</v>
      </c>
      <c r="N10" s="592"/>
      <c r="O10" s="592">
        <f>IF(G10&gt;1000,1000*1%*12,G10*1%*12)</f>
        <v>90</v>
      </c>
      <c r="P10" s="592">
        <f>SUM(I10:O10)</f>
        <v>2812.5</v>
      </c>
      <c r="Q10" s="593">
        <f>SUM(H10+P10)</f>
        <v>11812.5</v>
      </c>
      <c r="R10" s="598"/>
    </row>
    <row r="11" spans="1:18" s="606" customFormat="1" hidden="1">
      <c r="A11" s="632"/>
      <c r="B11" s="843" t="s">
        <v>259</v>
      </c>
      <c r="C11" s="601"/>
      <c r="D11" s="602"/>
      <c r="E11" s="603"/>
      <c r="F11" s="604"/>
      <c r="G11" s="605"/>
      <c r="H11" s="605"/>
      <c r="I11" s="605"/>
      <c r="J11" s="605"/>
      <c r="K11" s="605"/>
      <c r="L11" s="605">
        <f>SUM(L8:L10)</f>
        <v>0</v>
      </c>
      <c r="M11" s="605"/>
      <c r="N11" s="605">
        <f>SUM(N8:N10)</f>
        <v>0</v>
      </c>
      <c r="O11" s="605"/>
      <c r="P11" s="605"/>
      <c r="Q11" s="605"/>
      <c r="R11" s="600"/>
    </row>
    <row r="12" spans="1:18" s="595" customFormat="1" ht="15.75" customHeight="1">
      <c r="A12" s="631">
        <v>4</v>
      </c>
      <c r="B12" s="609" t="s">
        <v>257</v>
      </c>
      <c r="C12" s="607" t="s">
        <v>717</v>
      </c>
      <c r="D12" s="607" t="s">
        <v>717</v>
      </c>
      <c r="E12" s="589" t="s">
        <v>255</v>
      </c>
      <c r="F12" s="590" t="s">
        <v>256</v>
      </c>
      <c r="G12" s="608">
        <v>1500</v>
      </c>
      <c r="H12" s="592">
        <f>G12*12</f>
        <v>18000</v>
      </c>
      <c r="I12" s="592">
        <v>600</v>
      </c>
      <c r="J12" s="592">
        <f>G12</f>
        <v>1500</v>
      </c>
      <c r="K12" s="592">
        <f>H12*7.75%</f>
        <v>1395</v>
      </c>
      <c r="L12" s="592"/>
      <c r="M12" s="592">
        <f>IF(G12&gt;1000,1000*7.5%*12,G12*7.5%*12)</f>
        <v>900</v>
      </c>
      <c r="N12" s="592"/>
      <c r="O12" s="592">
        <f>IF(G12&gt;1000,1000*1%*12,G12*1%*9)</f>
        <v>120</v>
      </c>
      <c r="P12" s="592">
        <f t="shared" ref="P12:P25" si="0">SUM(I12:O12)</f>
        <v>4515</v>
      </c>
      <c r="Q12" s="593">
        <f>SUM(H12+P12)</f>
        <v>22515</v>
      </c>
      <c r="R12" s="596"/>
    </row>
    <row r="13" spans="1:18" s="595" customFormat="1" ht="15" customHeight="1">
      <c r="A13" s="631">
        <v>5</v>
      </c>
      <c r="B13" s="609" t="s">
        <v>851</v>
      </c>
      <c r="C13" s="596" t="s">
        <v>265</v>
      </c>
      <c r="D13" s="596" t="s">
        <v>266</v>
      </c>
      <c r="E13" s="589" t="s">
        <v>255</v>
      </c>
      <c r="F13" s="590" t="s">
        <v>256</v>
      </c>
      <c r="G13" s="608">
        <v>750</v>
      </c>
      <c r="H13" s="592">
        <f>G13*12</f>
        <v>9000</v>
      </c>
      <c r="I13" s="592">
        <v>600</v>
      </c>
      <c r="J13" s="592">
        <f>G13</f>
        <v>750</v>
      </c>
      <c r="K13" s="592">
        <f>H13*7.75%</f>
        <v>697.5</v>
      </c>
      <c r="L13" s="592"/>
      <c r="M13" s="592">
        <f>IF(G13&gt;1000,1000*7.5%*12,G13*7.5%*12)</f>
        <v>675</v>
      </c>
      <c r="N13" s="592"/>
      <c r="O13" s="592">
        <f>IF(G13&gt;1000,1000*1%*12,G13*1%*9)</f>
        <v>67.5</v>
      </c>
      <c r="P13" s="592">
        <f t="shared" si="0"/>
        <v>2790</v>
      </c>
      <c r="Q13" s="593">
        <f>SUM(H13+P13)</f>
        <v>11790</v>
      </c>
      <c r="R13" s="596"/>
    </row>
    <row r="14" spans="1:18" s="595" customFormat="1" ht="16.5" customHeight="1">
      <c r="A14" s="631">
        <v>6</v>
      </c>
      <c r="B14" s="609" t="s">
        <v>264</v>
      </c>
      <c r="C14" s="596" t="s">
        <v>664</v>
      </c>
      <c r="D14" s="596" t="s">
        <v>665</v>
      </c>
      <c r="E14" s="589" t="s">
        <v>255</v>
      </c>
      <c r="F14" s="590" t="s">
        <v>256</v>
      </c>
      <c r="G14" s="591">
        <v>1000</v>
      </c>
      <c r="H14" s="592">
        <f t="shared" ref="H14:H19" si="1">G14*12</f>
        <v>12000</v>
      </c>
      <c r="I14" s="592">
        <v>600</v>
      </c>
      <c r="J14" s="592">
        <f t="shared" ref="J14:J19" si="2">G14</f>
        <v>1000</v>
      </c>
      <c r="K14" s="592"/>
      <c r="L14" s="592"/>
      <c r="M14" s="592"/>
      <c r="N14" s="592"/>
      <c r="O14" s="592"/>
      <c r="P14" s="592">
        <f t="shared" si="0"/>
        <v>1600</v>
      </c>
      <c r="Q14" s="593">
        <f t="shared" ref="Q14:Q19" si="3">SUM(H14+P14)</f>
        <v>13600</v>
      </c>
      <c r="R14" s="596"/>
    </row>
    <row r="15" spans="1:18" s="595" customFormat="1" ht="15.75" customHeight="1">
      <c r="A15" s="631">
        <v>7</v>
      </c>
      <c r="B15" s="609" t="s">
        <v>267</v>
      </c>
      <c r="C15" s="596" t="s">
        <v>664</v>
      </c>
      <c r="D15" s="596" t="s">
        <v>720</v>
      </c>
      <c r="E15" s="589" t="s">
        <v>255</v>
      </c>
      <c r="F15" s="590" t="s">
        <v>256</v>
      </c>
      <c r="G15" s="608">
        <v>850</v>
      </c>
      <c r="H15" s="592">
        <f>G15*12</f>
        <v>10200</v>
      </c>
      <c r="I15" s="592">
        <v>600</v>
      </c>
      <c r="J15" s="592">
        <f>G15</f>
        <v>850</v>
      </c>
      <c r="K15" s="592">
        <f t="shared" ref="K15:K25" si="4">H15*7.75%</f>
        <v>790.5</v>
      </c>
      <c r="L15" s="592"/>
      <c r="M15" s="592">
        <f t="shared" ref="M15:M25" si="5">IF(G15&gt;1000,1000*7.5%*12,G15*7.5%*12)</f>
        <v>765</v>
      </c>
      <c r="N15" s="592"/>
      <c r="O15" s="592">
        <f t="shared" ref="O15:O22" si="6">IF(G15&gt;1000,1000*1%*12,G15*1%*9)</f>
        <v>76.5</v>
      </c>
      <c r="P15" s="592">
        <f t="shared" si="0"/>
        <v>3082</v>
      </c>
      <c r="Q15" s="593">
        <f>SUM(H15+P15)</f>
        <v>13282</v>
      </c>
      <c r="R15" s="596"/>
    </row>
    <row r="16" spans="1:18" s="595" customFormat="1" ht="15.75" customHeight="1">
      <c r="A16" s="631">
        <v>8</v>
      </c>
      <c r="B16" s="609" t="s">
        <v>666</v>
      </c>
      <c r="C16" s="588" t="s">
        <v>443</v>
      </c>
      <c r="D16" s="596" t="s">
        <v>443</v>
      </c>
      <c r="E16" s="589" t="s">
        <v>255</v>
      </c>
      <c r="F16" s="590" t="s">
        <v>256</v>
      </c>
      <c r="G16" s="608">
        <v>750</v>
      </c>
      <c r="H16" s="592">
        <f t="shared" si="1"/>
        <v>9000</v>
      </c>
      <c r="I16" s="592">
        <v>600</v>
      </c>
      <c r="J16" s="592">
        <f t="shared" si="2"/>
        <v>750</v>
      </c>
      <c r="K16" s="592">
        <f t="shared" si="4"/>
        <v>697.5</v>
      </c>
      <c r="L16" s="592"/>
      <c r="M16" s="592">
        <f t="shared" si="5"/>
        <v>675</v>
      </c>
      <c r="N16" s="592"/>
      <c r="O16" s="592">
        <f t="shared" si="6"/>
        <v>67.5</v>
      </c>
      <c r="P16" s="592">
        <f t="shared" si="0"/>
        <v>2790</v>
      </c>
      <c r="Q16" s="593">
        <f t="shared" si="3"/>
        <v>11790</v>
      </c>
      <c r="R16" s="596"/>
    </row>
    <row r="17" spans="1:18" s="595" customFormat="1" ht="19.5" customHeight="1">
      <c r="A17" s="631">
        <v>9</v>
      </c>
      <c r="B17" s="609" t="s">
        <v>414</v>
      </c>
      <c r="C17" s="596" t="s">
        <v>622</v>
      </c>
      <c r="D17" s="596" t="s">
        <v>622</v>
      </c>
      <c r="E17" s="589" t="s">
        <v>255</v>
      </c>
      <c r="F17" s="590" t="s">
        <v>256</v>
      </c>
      <c r="G17" s="608">
        <v>900</v>
      </c>
      <c r="H17" s="592">
        <f t="shared" si="1"/>
        <v>10800</v>
      </c>
      <c r="I17" s="592">
        <v>600</v>
      </c>
      <c r="J17" s="592">
        <f t="shared" si="2"/>
        <v>900</v>
      </c>
      <c r="K17" s="592">
        <f t="shared" si="4"/>
        <v>837</v>
      </c>
      <c r="L17" s="592"/>
      <c r="M17" s="592">
        <f t="shared" si="5"/>
        <v>810</v>
      </c>
      <c r="N17" s="592"/>
      <c r="O17" s="592">
        <f t="shared" si="6"/>
        <v>81</v>
      </c>
      <c r="P17" s="592">
        <f t="shared" si="0"/>
        <v>3228</v>
      </c>
      <c r="Q17" s="593">
        <f t="shared" si="3"/>
        <v>14028</v>
      </c>
      <c r="R17" s="596"/>
    </row>
    <row r="18" spans="1:18" s="595" customFormat="1">
      <c r="A18" s="631">
        <v>10</v>
      </c>
      <c r="B18" s="609" t="s">
        <v>667</v>
      </c>
      <c r="C18" s="596" t="s">
        <v>261</v>
      </c>
      <c r="D18" s="596" t="s">
        <v>262</v>
      </c>
      <c r="E18" s="589" t="s">
        <v>255</v>
      </c>
      <c r="F18" s="590" t="s">
        <v>256</v>
      </c>
      <c r="G18" s="608">
        <v>900</v>
      </c>
      <c r="H18" s="592">
        <f t="shared" si="1"/>
        <v>10800</v>
      </c>
      <c r="I18" s="592">
        <v>600</v>
      </c>
      <c r="J18" s="592">
        <f t="shared" si="2"/>
        <v>900</v>
      </c>
      <c r="K18" s="592">
        <f t="shared" si="4"/>
        <v>837</v>
      </c>
      <c r="L18" s="592"/>
      <c r="M18" s="592">
        <f t="shared" si="5"/>
        <v>810</v>
      </c>
      <c r="N18" s="592"/>
      <c r="O18" s="592">
        <f t="shared" si="6"/>
        <v>81</v>
      </c>
      <c r="P18" s="592">
        <f t="shared" si="0"/>
        <v>3228</v>
      </c>
      <c r="Q18" s="593">
        <f t="shared" si="3"/>
        <v>14028</v>
      </c>
      <c r="R18" s="596"/>
    </row>
    <row r="19" spans="1:18" s="595" customFormat="1">
      <c r="A19" s="631">
        <v>11</v>
      </c>
      <c r="B19" s="609" t="s">
        <v>852</v>
      </c>
      <c r="C19" s="596" t="s">
        <v>442</v>
      </c>
      <c r="D19" s="596" t="s">
        <v>442</v>
      </c>
      <c r="E19" s="589" t="s">
        <v>255</v>
      </c>
      <c r="F19" s="590" t="s">
        <v>256</v>
      </c>
      <c r="G19" s="608">
        <v>700</v>
      </c>
      <c r="H19" s="592">
        <f t="shared" si="1"/>
        <v>8400</v>
      </c>
      <c r="I19" s="592">
        <v>600</v>
      </c>
      <c r="J19" s="592">
        <f t="shared" si="2"/>
        <v>700</v>
      </c>
      <c r="K19" s="592">
        <f t="shared" si="4"/>
        <v>651</v>
      </c>
      <c r="L19" s="592"/>
      <c r="M19" s="592">
        <f t="shared" si="5"/>
        <v>630</v>
      </c>
      <c r="N19" s="592"/>
      <c r="O19" s="592">
        <f t="shared" si="6"/>
        <v>63</v>
      </c>
      <c r="P19" s="592">
        <f t="shared" si="0"/>
        <v>2644</v>
      </c>
      <c r="Q19" s="593">
        <f t="shared" si="3"/>
        <v>11044</v>
      </c>
      <c r="R19" s="596"/>
    </row>
    <row r="20" spans="1:18" s="616" customFormat="1" ht="39" customHeight="1">
      <c r="A20" s="631">
        <v>12</v>
      </c>
      <c r="B20" s="609" t="s">
        <v>668</v>
      </c>
      <c r="C20" s="610" t="s">
        <v>716</v>
      </c>
      <c r="D20" s="610" t="s">
        <v>711</v>
      </c>
      <c r="E20" s="611" t="s">
        <v>255</v>
      </c>
      <c r="F20" s="612" t="s">
        <v>256</v>
      </c>
      <c r="G20" s="613">
        <v>800</v>
      </c>
      <c r="H20" s="614">
        <f t="shared" ref="H20:H25" si="7">G20*12</f>
        <v>9600</v>
      </c>
      <c r="I20" s="614">
        <v>600</v>
      </c>
      <c r="J20" s="614">
        <f t="shared" ref="J20:J25" si="8">G20</f>
        <v>800</v>
      </c>
      <c r="K20" s="614">
        <f t="shared" si="4"/>
        <v>744</v>
      </c>
      <c r="L20" s="614"/>
      <c r="M20" s="614">
        <f t="shared" si="5"/>
        <v>720</v>
      </c>
      <c r="N20" s="614"/>
      <c r="O20" s="614">
        <f t="shared" si="6"/>
        <v>72</v>
      </c>
      <c r="P20" s="614">
        <f t="shared" si="0"/>
        <v>2936</v>
      </c>
      <c r="Q20" s="615">
        <f t="shared" ref="Q20:Q25" si="9">SUM(H20+P20)</f>
        <v>12536</v>
      </c>
      <c r="R20" s="609"/>
    </row>
    <row r="21" spans="1:18" s="595" customFormat="1">
      <c r="A21" s="631">
        <v>13</v>
      </c>
      <c r="B21" s="609" t="s">
        <v>710</v>
      </c>
      <c r="C21" s="596" t="s">
        <v>712</v>
      </c>
      <c r="D21" s="607" t="s">
        <v>712</v>
      </c>
      <c r="E21" s="589" t="s">
        <v>255</v>
      </c>
      <c r="F21" s="590" t="s">
        <v>256</v>
      </c>
      <c r="G21" s="608">
        <v>800</v>
      </c>
      <c r="H21" s="592">
        <f t="shared" si="7"/>
        <v>9600</v>
      </c>
      <c r="I21" s="592">
        <v>600</v>
      </c>
      <c r="J21" s="592">
        <f t="shared" si="8"/>
        <v>800</v>
      </c>
      <c r="K21" s="592">
        <f t="shared" si="4"/>
        <v>744</v>
      </c>
      <c r="L21" s="592"/>
      <c r="M21" s="592">
        <f t="shared" si="5"/>
        <v>720</v>
      </c>
      <c r="N21" s="592"/>
      <c r="O21" s="592">
        <f t="shared" si="6"/>
        <v>72</v>
      </c>
      <c r="P21" s="592">
        <f t="shared" si="0"/>
        <v>2936</v>
      </c>
      <c r="Q21" s="593">
        <f t="shared" si="9"/>
        <v>12536</v>
      </c>
      <c r="R21" s="596"/>
    </row>
    <row r="22" spans="1:18" s="595" customFormat="1" ht="25.5">
      <c r="A22" s="631">
        <v>14</v>
      </c>
      <c r="B22" s="853" t="s">
        <v>273</v>
      </c>
      <c r="C22" s="617" t="s">
        <v>394</v>
      </c>
      <c r="D22" s="596" t="s">
        <v>260</v>
      </c>
      <c r="E22" s="589" t="s">
        <v>255</v>
      </c>
      <c r="F22" s="590" t="s">
        <v>256</v>
      </c>
      <c r="G22" s="591">
        <f>600+92+69.2+38.8</f>
        <v>800</v>
      </c>
      <c r="H22" s="592">
        <f t="shared" si="7"/>
        <v>9600</v>
      </c>
      <c r="I22" s="592">
        <v>600</v>
      </c>
      <c r="J22" s="592">
        <f t="shared" si="8"/>
        <v>800</v>
      </c>
      <c r="K22" s="592">
        <f t="shared" si="4"/>
        <v>744</v>
      </c>
      <c r="L22" s="592"/>
      <c r="M22" s="592">
        <f t="shared" si="5"/>
        <v>720</v>
      </c>
      <c r="N22" s="592"/>
      <c r="O22" s="592">
        <f t="shared" si="6"/>
        <v>72</v>
      </c>
      <c r="P22" s="592">
        <f t="shared" si="0"/>
        <v>2936</v>
      </c>
      <c r="Q22" s="593">
        <f t="shared" si="9"/>
        <v>12536</v>
      </c>
      <c r="R22" s="596"/>
    </row>
    <row r="23" spans="1:18" s="595" customFormat="1">
      <c r="A23" s="631">
        <v>15</v>
      </c>
      <c r="B23" s="609" t="s">
        <v>1006</v>
      </c>
      <c r="C23" s="607" t="s">
        <v>669</v>
      </c>
      <c r="D23" s="607" t="s">
        <v>669</v>
      </c>
      <c r="E23" s="589" t="s">
        <v>255</v>
      </c>
      <c r="F23" s="590" t="s">
        <v>256</v>
      </c>
      <c r="G23" s="591">
        <v>800</v>
      </c>
      <c r="H23" s="592">
        <f t="shared" si="7"/>
        <v>9600</v>
      </c>
      <c r="I23" s="592">
        <v>600</v>
      </c>
      <c r="J23" s="592">
        <f t="shared" si="8"/>
        <v>800</v>
      </c>
      <c r="K23" s="592">
        <f t="shared" si="4"/>
        <v>744</v>
      </c>
      <c r="L23" s="592"/>
      <c r="M23" s="592">
        <f t="shared" si="5"/>
        <v>720</v>
      </c>
      <c r="N23" s="592"/>
      <c r="O23" s="592">
        <f>IF(G23&gt;1000,1000*1%*12,G23*1%*12)</f>
        <v>96</v>
      </c>
      <c r="P23" s="592">
        <f t="shared" si="0"/>
        <v>2960</v>
      </c>
      <c r="Q23" s="593">
        <f t="shared" si="9"/>
        <v>12560</v>
      </c>
      <c r="R23" s="596"/>
    </row>
    <row r="24" spans="1:18" s="595" customFormat="1" ht="28.9" customHeight="1">
      <c r="A24" s="631">
        <v>16</v>
      </c>
      <c r="B24" s="853" t="s">
        <v>714</v>
      </c>
      <c r="C24" s="607" t="s">
        <v>713</v>
      </c>
      <c r="D24" s="607" t="s">
        <v>713</v>
      </c>
      <c r="E24" s="589" t="s">
        <v>255</v>
      </c>
      <c r="F24" s="590" t="s">
        <v>256</v>
      </c>
      <c r="G24" s="591">
        <v>750</v>
      </c>
      <c r="H24" s="592">
        <f t="shared" si="7"/>
        <v>9000</v>
      </c>
      <c r="I24" s="592">
        <v>600</v>
      </c>
      <c r="J24" s="592">
        <f t="shared" si="8"/>
        <v>750</v>
      </c>
      <c r="K24" s="592">
        <f t="shared" si="4"/>
        <v>697.5</v>
      </c>
      <c r="L24" s="592"/>
      <c r="M24" s="592">
        <f t="shared" si="5"/>
        <v>675</v>
      </c>
      <c r="N24" s="592"/>
      <c r="O24" s="592">
        <f>IF(G24&gt;1000,1000*1%*12,G24*1%*12)</f>
        <v>90</v>
      </c>
      <c r="P24" s="592">
        <f t="shared" si="0"/>
        <v>2812.5</v>
      </c>
      <c r="Q24" s="593">
        <f t="shared" si="9"/>
        <v>11812.5</v>
      </c>
      <c r="R24" s="596"/>
    </row>
    <row r="25" spans="1:18" s="595" customFormat="1">
      <c r="A25" s="631">
        <v>17</v>
      </c>
      <c r="B25" s="609" t="s">
        <v>715</v>
      </c>
      <c r="C25" s="596" t="s">
        <v>671</v>
      </c>
      <c r="D25" s="596" t="s">
        <v>671</v>
      </c>
      <c r="E25" s="589" t="s">
        <v>255</v>
      </c>
      <c r="F25" s="590" t="s">
        <v>256</v>
      </c>
      <c r="G25" s="591">
        <v>748</v>
      </c>
      <c r="H25" s="592">
        <f t="shared" si="7"/>
        <v>8976</v>
      </c>
      <c r="I25" s="592">
        <v>600</v>
      </c>
      <c r="J25" s="592">
        <f t="shared" si="8"/>
        <v>748</v>
      </c>
      <c r="K25" s="592">
        <f t="shared" si="4"/>
        <v>695.64</v>
      </c>
      <c r="L25" s="592"/>
      <c r="M25" s="592">
        <f t="shared" si="5"/>
        <v>673.2</v>
      </c>
      <c r="N25" s="592">
        <v>571.20000000000005</v>
      </c>
      <c r="O25" s="592">
        <f>IF(G25&gt;1000,1000*1%*12,G25*1%*12)</f>
        <v>89.76</v>
      </c>
      <c r="P25" s="592">
        <f t="shared" si="0"/>
        <v>3377.8</v>
      </c>
      <c r="Q25" s="593">
        <f t="shared" si="9"/>
        <v>12353.8</v>
      </c>
      <c r="R25" s="596"/>
    </row>
    <row r="26" spans="1:18" s="606" customFormat="1" hidden="1">
      <c r="A26" s="639"/>
      <c r="B26" s="854" t="s">
        <v>268</v>
      </c>
      <c r="C26" s="602"/>
      <c r="D26" s="603"/>
      <c r="E26" s="603"/>
      <c r="F26" s="604"/>
      <c r="G26" s="605"/>
      <c r="H26" s="605"/>
      <c r="I26" s="605"/>
      <c r="J26" s="605"/>
      <c r="K26" s="605"/>
      <c r="L26" s="605"/>
      <c r="M26" s="605"/>
      <c r="N26" s="605"/>
      <c r="O26" s="605"/>
      <c r="P26" s="605"/>
      <c r="Q26" s="605"/>
      <c r="R26" s="600"/>
    </row>
    <row r="27" spans="1:18" s="595" customFormat="1">
      <c r="A27" s="631">
        <v>18</v>
      </c>
      <c r="B27" s="609" t="s">
        <v>1084</v>
      </c>
      <c r="C27" s="596" t="s">
        <v>956</v>
      </c>
      <c r="D27" s="596" t="s">
        <v>956</v>
      </c>
      <c r="E27" s="589" t="s">
        <v>255</v>
      </c>
      <c r="F27" s="590" t="s">
        <v>256</v>
      </c>
      <c r="G27" s="591">
        <v>553.75</v>
      </c>
      <c r="H27" s="592">
        <f>G27*12</f>
        <v>6645</v>
      </c>
      <c r="I27" s="592">
        <f>G27</f>
        <v>553.75</v>
      </c>
      <c r="J27" s="592">
        <f>G27</f>
        <v>553.75</v>
      </c>
      <c r="K27" s="592">
        <f>H27*7.75%</f>
        <v>514.98749999999995</v>
      </c>
      <c r="L27" s="592"/>
      <c r="M27" s="592">
        <f>IF(G27&gt;1000,1000*7.5%*12,G27*7.5%*12)</f>
        <v>498.375</v>
      </c>
      <c r="N27" s="592"/>
      <c r="O27" s="592">
        <f>IF(G27&gt;1000,1000*1%*12,G27*1%*12)</f>
        <v>66.45</v>
      </c>
      <c r="P27" s="592">
        <f>SUM(I27:O27)</f>
        <v>2187.3125</v>
      </c>
      <c r="Q27" s="593">
        <f>SUM(H27+P27)</f>
        <v>8832.3125</v>
      </c>
      <c r="R27" s="596"/>
    </row>
    <row r="28" spans="1:18" s="595" customFormat="1">
      <c r="A28" s="631">
        <v>18</v>
      </c>
      <c r="B28" s="609" t="s">
        <v>269</v>
      </c>
      <c r="C28" s="596" t="s">
        <v>270</v>
      </c>
      <c r="D28" s="596" t="s">
        <v>271</v>
      </c>
      <c r="E28" s="589" t="s">
        <v>255</v>
      </c>
      <c r="F28" s="590" t="s">
        <v>256</v>
      </c>
      <c r="G28" s="591">
        <f>645+47+69.2+0.8</f>
        <v>762</v>
      </c>
      <c r="H28" s="592">
        <f>G28*12</f>
        <v>9144</v>
      </c>
      <c r="I28" s="592">
        <v>600</v>
      </c>
      <c r="J28" s="592">
        <f>G28</f>
        <v>762</v>
      </c>
      <c r="K28" s="592">
        <f>H28*7.75%</f>
        <v>708.66</v>
      </c>
      <c r="L28" s="592"/>
      <c r="M28" s="592">
        <f>IF(G28&gt;1000,1000*7.5%*12,G28*7.5%*12)</f>
        <v>685.8</v>
      </c>
      <c r="N28" s="592"/>
      <c r="O28" s="592">
        <f>IF(G28&gt;1000,1000*1%*12,G28*1%*12)</f>
        <v>91.44</v>
      </c>
      <c r="P28" s="592">
        <f>SUM(I28:O28)</f>
        <v>2847.9</v>
      </c>
      <c r="Q28" s="593">
        <f>SUM(H28+P28)</f>
        <v>11991.9</v>
      </c>
      <c r="R28" s="596"/>
    </row>
    <row r="29" spans="1:18" s="606" customFormat="1" hidden="1">
      <c r="A29" s="632"/>
      <c r="B29" s="854" t="s">
        <v>274</v>
      </c>
      <c r="C29" s="601"/>
      <c r="D29" s="601"/>
      <c r="E29" s="602"/>
      <c r="F29" s="618"/>
      <c r="G29" s="605"/>
      <c r="H29" s="605"/>
      <c r="I29" s="605"/>
      <c r="J29" s="605"/>
      <c r="K29" s="605"/>
      <c r="L29" s="605"/>
      <c r="M29" s="605"/>
      <c r="N29" s="605"/>
      <c r="O29" s="605"/>
      <c r="P29" s="605"/>
      <c r="Q29" s="605"/>
      <c r="R29" s="600"/>
    </row>
    <row r="30" spans="1:18" s="595" customFormat="1" ht="24" customHeight="1">
      <c r="A30" s="631">
        <v>21</v>
      </c>
      <c r="B30" s="609" t="s">
        <v>601</v>
      </c>
      <c r="C30" s="607" t="s">
        <v>1089</v>
      </c>
      <c r="D30" s="607" t="str">
        <f>C30</f>
        <v>Jefe Unidad de MAG y Protección Civil</v>
      </c>
      <c r="E30" s="589" t="s">
        <v>255</v>
      </c>
      <c r="F30" s="590" t="s">
        <v>256</v>
      </c>
      <c r="G30" s="592">
        <v>700</v>
      </c>
      <c r="H30" s="592">
        <f>G30*12</f>
        <v>8400</v>
      </c>
      <c r="I30" s="592">
        <v>600</v>
      </c>
      <c r="J30" s="592">
        <f>G30</f>
        <v>700</v>
      </c>
      <c r="K30" s="592">
        <f>H30*7.75%</f>
        <v>651</v>
      </c>
      <c r="L30" s="592"/>
      <c r="M30" s="592">
        <f>IF(G30&gt;1000,1000*7.5%*12,G30*7.5%*12)</f>
        <v>630</v>
      </c>
      <c r="N30" s="592"/>
      <c r="O30" s="592">
        <f>IF(G30&gt;1000,1000*1%*12,G30*1%*12)</f>
        <v>84</v>
      </c>
      <c r="P30" s="592">
        <f>SUM(I30:O30)</f>
        <v>2665</v>
      </c>
      <c r="Q30" s="593">
        <f>SUM(H30+P30)</f>
        <v>11065</v>
      </c>
      <c r="R30" s="596"/>
    </row>
    <row r="31" spans="1:18" s="595" customFormat="1" ht="24.6" customHeight="1">
      <c r="A31" s="631">
        <v>22</v>
      </c>
      <c r="B31" s="609" t="s">
        <v>272</v>
      </c>
      <c r="C31" s="607" t="s">
        <v>621</v>
      </c>
      <c r="D31" s="607" t="s">
        <v>621</v>
      </c>
      <c r="E31" s="589" t="s">
        <v>255</v>
      </c>
      <c r="F31" s="590" t="s">
        <v>256</v>
      </c>
      <c r="G31" s="881">
        <v>506</v>
      </c>
      <c r="H31" s="592">
        <f>G31*12</f>
        <v>6072</v>
      </c>
      <c r="I31" s="592">
        <f>G31</f>
        <v>506</v>
      </c>
      <c r="J31" s="592">
        <f>G31</f>
        <v>506</v>
      </c>
      <c r="K31" s="592">
        <f>H31*7.75%</f>
        <v>470.58</v>
      </c>
      <c r="L31" s="592"/>
      <c r="M31" s="592">
        <f>IF(G31&gt;1000,1000*7.5%*12,G31*7.5%*12)</f>
        <v>455.4</v>
      </c>
      <c r="N31" s="592"/>
      <c r="O31" s="592">
        <f>IF(G31&gt;1000,1000*1%*12,G31*1%*12)</f>
        <v>60.720000000000006</v>
      </c>
      <c r="P31" s="592">
        <f>SUM(I31:O31)</f>
        <v>1998.7</v>
      </c>
      <c r="Q31" s="593">
        <f>SUM(H31+P31)</f>
        <v>8070.7</v>
      </c>
      <c r="R31" s="596"/>
    </row>
    <row r="32" spans="1:18" s="595" customFormat="1" ht="24" customHeight="1">
      <c r="A32" s="631">
        <v>23</v>
      </c>
      <c r="B32" s="610" t="s">
        <v>670</v>
      </c>
      <c r="C32" s="607" t="s">
        <v>1087</v>
      </c>
      <c r="D32" s="607" t="str">
        <f>C32</f>
        <v>Promoción Social Y Activo Fijo</v>
      </c>
      <c r="E32" s="589" t="s">
        <v>255</v>
      </c>
      <c r="F32" s="590" t="s">
        <v>256</v>
      </c>
      <c r="G32" s="591">
        <v>600</v>
      </c>
      <c r="H32" s="592">
        <f>G32*12</f>
        <v>7200</v>
      </c>
      <c r="I32" s="592">
        <f>G32</f>
        <v>600</v>
      </c>
      <c r="J32" s="592">
        <f>G32</f>
        <v>600</v>
      </c>
      <c r="K32" s="592">
        <f>H32*7.75%</f>
        <v>558</v>
      </c>
      <c r="L32" s="592"/>
      <c r="M32" s="592">
        <f>IF(G32&gt;1000,1000*7.5%*12,G32*7.5%*12)</f>
        <v>540</v>
      </c>
      <c r="N32" s="592"/>
      <c r="O32" s="592">
        <f>IF(G32&gt;1000,1000*1%*12,G32*1%*12)</f>
        <v>72</v>
      </c>
      <c r="P32" s="592">
        <f>SUM(I32:O32)</f>
        <v>2370</v>
      </c>
      <c r="Q32" s="592">
        <f>SUM(H32+P32)</f>
        <v>9570</v>
      </c>
      <c r="R32" s="596"/>
    </row>
    <row r="33" spans="1:20" s="595" customFormat="1" ht="23.45" customHeight="1">
      <c r="A33" s="631">
        <v>24</v>
      </c>
      <c r="B33" s="853" t="s">
        <v>825</v>
      </c>
      <c r="C33" s="596" t="s">
        <v>1088</v>
      </c>
      <c r="D33" s="596" t="str">
        <f>C33</f>
        <v xml:space="preserve">Ordenanza   </v>
      </c>
      <c r="E33" s="589" t="s">
        <v>255</v>
      </c>
      <c r="F33" s="590" t="s">
        <v>256</v>
      </c>
      <c r="G33" s="592">
        <f>340+30</f>
        <v>370</v>
      </c>
      <c r="H33" s="592">
        <f>G33*12</f>
        <v>4440</v>
      </c>
      <c r="I33" s="592">
        <f>G33</f>
        <v>370</v>
      </c>
      <c r="J33" s="592">
        <f>G33</f>
        <v>370</v>
      </c>
      <c r="K33" s="592">
        <f>H33*7.75%</f>
        <v>344.1</v>
      </c>
      <c r="L33" s="593"/>
      <c r="M33" s="592">
        <f>IF(G33&gt;1000,1000*7.5%*12,G33*7.5%*12)</f>
        <v>333</v>
      </c>
      <c r="N33" s="593"/>
      <c r="O33" s="592">
        <f>IF(G33&gt;1000,1000*1%*12,G33*1%*12)</f>
        <v>44.400000000000006</v>
      </c>
      <c r="P33" s="592">
        <f>SUM(I33:O33)</f>
        <v>1461.5</v>
      </c>
      <c r="Q33" s="593">
        <f t="shared" ref="Q33:Q41" si="10">SUM(H33+P33)</f>
        <v>5901.5</v>
      </c>
      <c r="R33" s="596"/>
    </row>
    <row r="34" spans="1:20" s="606" customFormat="1" ht="24" customHeight="1">
      <c r="A34" s="632"/>
      <c r="B34" s="1667" t="s">
        <v>275</v>
      </c>
      <c r="C34" s="1667"/>
      <c r="D34" s="1667"/>
      <c r="E34" s="1667"/>
      <c r="F34" s="604"/>
      <c r="G34" s="605">
        <f t="shared" ref="G34:Q34" si="11">SUM(G8:G33)</f>
        <v>22109.75</v>
      </c>
      <c r="H34" s="605">
        <f t="shared" si="11"/>
        <v>265317</v>
      </c>
      <c r="I34" s="605">
        <f t="shared" si="11"/>
        <v>13429.75</v>
      </c>
      <c r="J34" s="605">
        <f t="shared" si="11"/>
        <v>22109.75</v>
      </c>
      <c r="K34" s="605">
        <f t="shared" si="11"/>
        <v>19632.067500000001</v>
      </c>
      <c r="L34" s="605">
        <f t="shared" si="11"/>
        <v>0</v>
      </c>
      <c r="M34" s="605">
        <f t="shared" si="11"/>
        <v>15110.775</v>
      </c>
      <c r="N34" s="605">
        <f t="shared" si="11"/>
        <v>571.20000000000005</v>
      </c>
      <c r="O34" s="605">
        <f t="shared" si="11"/>
        <v>1797.2700000000002</v>
      </c>
      <c r="P34" s="605">
        <f t="shared" si="11"/>
        <v>72650.8125</v>
      </c>
      <c r="Q34" s="605">
        <f t="shared" si="11"/>
        <v>337967.8125</v>
      </c>
      <c r="R34" s="600"/>
    </row>
    <row r="35" spans="1:20" s="606" customFormat="1" ht="24" hidden="1" customHeight="1">
      <c r="A35" s="632"/>
      <c r="B35" s="1667" t="s">
        <v>447</v>
      </c>
      <c r="C35" s="1667"/>
      <c r="D35" s="1667"/>
      <c r="E35" s="603"/>
      <c r="F35" s="604"/>
      <c r="G35" s="605"/>
      <c r="H35" s="605"/>
      <c r="I35" s="605"/>
      <c r="J35" s="605"/>
      <c r="K35" s="605"/>
      <c r="L35" s="605">
        <f>L11+L26+L29+L34</f>
        <v>0</v>
      </c>
      <c r="M35" s="605"/>
      <c r="N35" s="605"/>
      <c r="O35" s="605"/>
      <c r="P35" s="605"/>
      <c r="Q35" s="605"/>
      <c r="R35" s="600"/>
    </row>
    <row r="36" spans="1:20" s="566" customFormat="1" ht="20.25" customHeight="1">
      <c r="A36" s="1722" t="s">
        <v>679</v>
      </c>
      <c r="B36" s="1722"/>
      <c r="C36" s="1722"/>
      <c r="D36" s="1722"/>
      <c r="E36" s="1722"/>
      <c r="F36" s="1722"/>
      <c r="G36" s="1722"/>
      <c r="H36" s="1722"/>
      <c r="I36" s="1722"/>
      <c r="J36" s="1722"/>
      <c r="K36" s="1722"/>
      <c r="L36" s="1722"/>
      <c r="M36" s="1722"/>
      <c r="N36" s="1722"/>
      <c r="O36" s="1722"/>
      <c r="P36" s="1722"/>
      <c r="Q36" s="1722"/>
      <c r="R36" s="568"/>
    </row>
    <row r="37" spans="1:20" s="595" customFormat="1">
      <c r="A37" s="631">
        <v>3</v>
      </c>
      <c r="B37" s="609" t="s">
        <v>440</v>
      </c>
      <c r="C37" s="596" t="s">
        <v>860</v>
      </c>
      <c r="D37" s="596" t="s">
        <v>860</v>
      </c>
      <c r="E37" s="589" t="s">
        <v>255</v>
      </c>
      <c r="F37" s="629" t="s">
        <v>263</v>
      </c>
      <c r="G37" s="630">
        <v>467</v>
      </c>
      <c r="H37" s="592">
        <f>G37*12</f>
        <v>5604</v>
      </c>
      <c r="I37" s="592">
        <f>G37</f>
        <v>467</v>
      </c>
      <c r="J37" s="592">
        <f>G37</f>
        <v>467</v>
      </c>
      <c r="K37" s="592">
        <f>H37*7.75%</f>
        <v>434.31</v>
      </c>
      <c r="L37" s="592"/>
      <c r="M37" s="592">
        <f>IF(G37&gt;1000,1000*7.5%*12,G37*7.5%*12)</f>
        <v>420.29999999999995</v>
      </c>
      <c r="N37" s="592"/>
      <c r="O37" s="592">
        <f>IF(G37&gt;1000,1000*1%*12,G37*1%*12)</f>
        <v>56.04</v>
      </c>
      <c r="P37" s="592">
        <f>SUM(I37:O37)</f>
        <v>1844.6499999999999</v>
      </c>
      <c r="Q37" s="593">
        <f>SUM(H37+P37)</f>
        <v>7448.65</v>
      </c>
      <c r="R37" s="596"/>
      <c r="T37" s="592"/>
    </row>
    <row r="38" spans="1:20" s="595" customFormat="1">
      <c r="A38" s="631">
        <v>4</v>
      </c>
      <c r="B38" s="609" t="s">
        <v>441</v>
      </c>
      <c r="C38" s="596" t="s">
        <v>860</v>
      </c>
      <c r="D38" s="596" t="s">
        <v>860</v>
      </c>
      <c r="E38" s="589" t="s">
        <v>255</v>
      </c>
      <c r="F38" s="629" t="s">
        <v>263</v>
      </c>
      <c r="G38" s="630">
        <v>467</v>
      </c>
      <c r="H38" s="592">
        <f>G38*12</f>
        <v>5604</v>
      </c>
      <c r="I38" s="592">
        <f>G38</f>
        <v>467</v>
      </c>
      <c r="J38" s="592">
        <f>G38</f>
        <v>467</v>
      </c>
      <c r="K38" s="592">
        <f>H38*7.75%</f>
        <v>434.31</v>
      </c>
      <c r="L38" s="592"/>
      <c r="M38" s="592">
        <f>IF(G38&gt;1000,1000*7.5%*12,G38*7.5%*12)</f>
        <v>420.29999999999995</v>
      </c>
      <c r="N38" s="592"/>
      <c r="O38" s="592">
        <f>IF(G38&gt;1000,1000*1%*12,G38*1%*12)</f>
        <v>56.04</v>
      </c>
      <c r="P38" s="592">
        <f>SUM(I38:O38)</f>
        <v>1844.6499999999999</v>
      </c>
      <c r="Q38" s="593">
        <f t="shared" si="10"/>
        <v>7448.65</v>
      </c>
      <c r="R38" s="596"/>
    </row>
    <row r="39" spans="1:20" s="595" customFormat="1">
      <c r="A39" s="631">
        <v>5</v>
      </c>
      <c r="B39" s="609" t="s">
        <v>444</v>
      </c>
      <c r="C39" s="596" t="s">
        <v>860</v>
      </c>
      <c r="D39" s="596" t="s">
        <v>860</v>
      </c>
      <c r="E39" s="589" t="s">
        <v>255</v>
      </c>
      <c r="F39" s="629" t="s">
        <v>263</v>
      </c>
      <c r="G39" s="630">
        <v>533</v>
      </c>
      <c r="H39" s="592">
        <f>G39*12</f>
        <v>6396</v>
      </c>
      <c r="I39" s="592">
        <f>G39</f>
        <v>533</v>
      </c>
      <c r="J39" s="592">
        <f>G39</f>
        <v>533</v>
      </c>
      <c r="K39" s="592">
        <f>H39*7.75%</f>
        <v>495.69</v>
      </c>
      <c r="L39" s="592"/>
      <c r="M39" s="592">
        <f>IF(G39&gt;1000,1000*7.5%*12,G39*7.5%*12)</f>
        <v>479.70000000000005</v>
      </c>
      <c r="N39" s="592"/>
      <c r="O39" s="592">
        <f>IF(G39&gt;1000,1000*1%*12,G39*1%*12)</f>
        <v>63.96</v>
      </c>
      <c r="P39" s="592">
        <f>SUM(I39:O39)</f>
        <v>2105.35</v>
      </c>
      <c r="Q39" s="593">
        <f t="shared" si="10"/>
        <v>8501.35</v>
      </c>
      <c r="R39" s="596"/>
    </row>
    <row r="40" spans="1:20" s="595" customFormat="1">
      <c r="A40" s="631">
        <v>6</v>
      </c>
      <c r="B40" s="609" t="s">
        <v>445</v>
      </c>
      <c r="C40" s="596" t="s">
        <v>860</v>
      </c>
      <c r="D40" s="596" t="s">
        <v>860</v>
      </c>
      <c r="E40" s="589" t="s">
        <v>255</v>
      </c>
      <c r="F40" s="629" t="s">
        <v>263</v>
      </c>
      <c r="G40" s="630">
        <v>533</v>
      </c>
      <c r="H40" s="592">
        <f>G40*12</f>
        <v>6396</v>
      </c>
      <c r="I40" s="592">
        <f>G40</f>
        <v>533</v>
      </c>
      <c r="J40" s="592">
        <f>G40</f>
        <v>533</v>
      </c>
      <c r="K40" s="592">
        <f>H40*7.75%</f>
        <v>495.69</v>
      </c>
      <c r="L40" s="592"/>
      <c r="M40" s="592">
        <f>IF(G40&gt;1000,1000*7.5%*12,G40*7.5%*12)</f>
        <v>479.70000000000005</v>
      </c>
      <c r="N40" s="592"/>
      <c r="O40" s="592">
        <f>IF(G40&gt;1000,1000*1%*12,G40*1%*12)</f>
        <v>63.96</v>
      </c>
      <c r="P40" s="592">
        <f>SUM(I40:O40)</f>
        <v>2105.35</v>
      </c>
      <c r="Q40" s="593">
        <f t="shared" si="10"/>
        <v>8501.35</v>
      </c>
      <c r="R40" s="596"/>
    </row>
    <row r="41" spans="1:20" s="595" customFormat="1">
      <c r="A41" s="631">
        <v>7</v>
      </c>
      <c r="B41" s="609" t="s">
        <v>446</v>
      </c>
      <c r="C41" s="596" t="s">
        <v>860</v>
      </c>
      <c r="D41" s="596" t="s">
        <v>860</v>
      </c>
      <c r="E41" s="589" t="s">
        <v>255</v>
      </c>
      <c r="F41" s="629" t="s">
        <v>263</v>
      </c>
      <c r="G41" s="630">
        <v>467</v>
      </c>
      <c r="H41" s="592">
        <f>G41*12</f>
        <v>5604</v>
      </c>
      <c r="I41" s="592">
        <f>G41</f>
        <v>467</v>
      </c>
      <c r="J41" s="592">
        <f>G41</f>
        <v>467</v>
      </c>
      <c r="K41" s="592">
        <f>H41*7.75%</f>
        <v>434.31</v>
      </c>
      <c r="L41" s="592"/>
      <c r="M41" s="592">
        <f>IF(G41&gt;1000,1000*7.5%*12,G41*7.5%*12)</f>
        <v>420.29999999999995</v>
      </c>
      <c r="N41" s="592"/>
      <c r="O41" s="592">
        <f>IF(G41&gt;1000,1000*1%*12,G41*1%*12)</f>
        <v>56.04</v>
      </c>
      <c r="P41" s="592">
        <f>SUM(I41:O41)</f>
        <v>1844.6499999999999</v>
      </c>
      <c r="Q41" s="593">
        <f t="shared" si="10"/>
        <v>7448.65</v>
      </c>
      <c r="R41" s="596"/>
    </row>
    <row r="42" spans="1:20" s="625" customFormat="1" ht="22.5" customHeight="1">
      <c r="A42" s="640"/>
      <c r="B42" s="855" t="s">
        <v>1002</v>
      </c>
      <c r="C42" s="621"/>
      <c r="D42" s="622"/>
      <c r="E42" s="622"/>
      <c r="F42" s="623"/>
      <c r="G42" s="624">
        <f t="shared" ref="G42:Q42" si="12">SUM(G37:G41)</f>
        <v>2467</v>
      </c>
      <c r="H42" s="624">
        <f t="shared" si="12"/>
        <v>29604</v>
      </c>
      <c r="I42" s="624">
        <f t="shared" si="12"/>
        <v>2467</v>
      </c>
      <c r="J42" s="624">
        <f t="shared" si="12"/>
        <v>2467</v>
      </c>
      <c r="K42" s="624">
        <f t="shared" si="12"/>
        <v>2294.31</v>
      </c>
      <c r="L42" s="977">
        <f t="shared" si="12"/>
        <v>0</v>
      </c>
      <c r="M42" s="624">
        <f t="shared" si="12"/>
        <v>2220.3000000000002</v>
      </c>
      <c r="N42" s="624">
        <f t="shared" si="12"/>
        <v>0</v>
      </c>
      <c r="O42" s="624">
        <f t="shared" si="12"/>
        <v>296.04000000000002</v>
      </c>
      <c r="P42" s="624">
        <f t="shared" si="12"/>
        <v>9744.65</v>
      </c>
      <c r="Q42" s="624">
        <f t="shared" si="12"/>
        <v>39348.65</v>
      </c>
      <c r="R42" s="620"/>
    </row>
    <row r="43" spans="1:20" s="586" customFormat="1" ht="22.5" customHeight="1">
      <c r="A43" s="633"/>
      <c r="B43" s="856" t="s">
        <v>300</v>
      </c>
      <c r="C43" s="626"/>
      <c r="D43" s="626"/>
      <c r="E43" s="626"/>
      <c r="F43" s="627"/>
      <c r="G43" s="619">
        <f>G11+G26+G29+G34+G42</f>
        <v>24576.75</v>
      </c>
      <c r="H43" s="619">
        <f>H11+H26+H29+H34+H42</f>
        <v>294921</v>
      </c>
      <c r="I43" s="619">
        <f>I11+I26+I29+I34+I42</f>
        <v>15896.75</v>
      </c>
      <c r="J43" s="619">
        <f t="shared" ref="J43:Q43" si="13">J11+J26+J29+J34+J42</f>
        <v>24576.75</v>
      </c>
      <c r="K43" s="619">
        <f t="shared" si="13"/>
        <v>21926.377500000002</v>
      </c>
      <c r="L43" s="976">
        <f t="shared" si="13"/>
        <v>0</v>
      </c>
      <c r="M43" s="619">
        <f t="shared" si="13"/>
        <v>17331.075000000001</v>
      </c>
      <c r="N43" s="619">
        <f t="shared" si="13"/>
        <v>571.20000000000005</v>
      </c>
      <c r="O43" s="619">
        <f t="shared" si="13"/>
        <v>2093.3100000000004</v>
      </c>
      <c r="P43" s="619">
        <f t="shared" si="13"/>
        <v>82395.462499999994</v>
      </c>
      <c r="Q43" s="619">
        <f t="shared" si="13"/>
        <v>377316.46250000002</v>
      </c>
      <c r="R43" s="587"/>
    </row>
    <row r="44" spans="1:20" s="566" customFormat="1" ht="22.5" hidden="1" customHeight="1">
      <c r="A44" s="1723" t="s">
        <v>609</v>
      </c>
      <c r="B44" s="1723"/>
      <c r="C44" s="1723"/>
      <c r="D44" s="1723"/>
      <c r="E44" s="1723"/>
      <c r="F44" s="1723"/>
      <c r="G44" s="1723"/>
      <c r="H44" s="1723"/>
      <c r="I44" s="1723"/>
      <c r="J44" s="1723"/>
      <c r="K44" s="1723"/>
      <c r="L44" s="1723"/>
      <c r="M44" s="1723"/>
      <c r="N44" s="1723"/>
      <c r="O44" s="1723"/>
      <c r="P44" s="1723"/>
      <c r="Q44" s="1723"/>
      <c r="R44" s="568"/>
    </row>
    <row r="45" spans="1:20" s="566" customFormat="1" ht="31.5" hidden="1" customHeight="1" thickBot="1">
      <c r="A45" s="634">
        <v>1</v>
      </c>
      <c r="B45" s="857"/>
      <c r="C45" s="570" t="s">
        <v>646</v>
      </c>
      <c r="D45" s="572" t="s">
        <v>646</v>
      </c>
      <c r="E45" s="561" t="s">
        <v>647</v>
      </c>
      <c r="F45" s="571" t="s">
        <v>263</v>
      </c>
      <c r="G45" s="569"/>
      <c r="H45" s="564">
        <f>G45*12</f>
        <v>0</v>
      </c>
      <c r="I45" s="564">
        <f>G45</f>
        <v>0</v>
      </c>
      <c r="J45" s="564">
        <f>G45</f>
        <v>0</v>
      </c>
      <c r="K45" s="564">
        <f>H45*7.75%</f>
        <v>0</v>
      </c>
      <c r="L45" s="564"/>
      <c r="M45" s="564">
        <f>IF(G45&gt;1000,1000*7.5%*12,G45*7.5%*12)</f>
        <v>0</v>
      </c>
      <c r="N45" s="564"/>
      <c r="O45" s="564">
        <f>IF(G45&gt;1000,1000*1%*12,G45*1%*12)</f>
        <v>0</v>
      </c>
      <c r="P45" s="564">
        <f>SUM(I45:O45)</f>
        <v>0</v>
      </c>
      <c r="Q45" s="565">
        <f>SUM(H45+P45)</f>
        <v>0</v>
      </c>
      <c r="R45" s="568"/>
    </row>
    <row r="46" spans="1:20" s="566" customFormat="1" ht="15.6" hidden="1" customHeight="1">
      <c r="A46" s="635"/>
      <c r="B46" s="858" t="s">
        <v>448</v>
      </c>
      <c r="C46" s="573"/>
      <c r="D46" s="574"/>
      <c r="E46" s="574"/>
      <c r="F46" s="575"/>
      <c r="G46" s="576">
        <f>SUM(G45)</f>
        <v>0</v>
      </c>
      <c r="H46" s="576">
        <f t="shared" ref="H46:Q46" si="14">SUM(H45)</f>
        <v>0</v>
      </c>
      <c r="I46" s="576">
        <f t="shared" si="14"/>
        <v>0</v>
      </c>
      <c r="J46" s="576">
        <f t="shared" si="14"/>
        <v>0</v>
      </c>
      <c r="K46" s="576">
        <f t="shared" si="14"/>
        <v>0</v>
      </c>
      <c r="L46" s="576">
        <f t="shared" si="14"/>
        <v>0</v>
      </c>
      <c r="M46" s="576">
        <f t="shared" si="14"/>
        <v>0</v>
      </c>
      <c r="N46" s="576">
        <f t="shared" si="14"/>
        <v>0</v>
      </c>
      <c r="O46" s="576">
        <f t="shared" si="14"/>
        <v>0</v>
      </c>
      <c r="P46" s="576">
        <f t="shared" si="14"/>
        <v>0</v>
      </c>
      <c r="Q46" s="576">
        <f t="shared" si="14"/>
        <v>0</v>
      </c>
      <c r="R46" s="568"/>
    </row>
    <row r="47" spans="1:20" s="566" customFormat="1" ht="24" customHeight="1">
      <c r="A47" s="1725" t="s">
        <v>606</v>
      </c>
      <c r="B47" s="1725"/>
      <c r="C47" s="1724" t="s">
        <v>610</v>
      </c>
      <c r="D47" s="1724"/>
      <c r="E47" s="1724"/>
      <c r="F47" s="1724"/>
      <c r="G47" s="1724"/>
      <c r="H47" s="1724"/>
      <c r="I47" s="1724"/>
      <c r="J47" s="1724"/>
      <c r="K47" s="1724"/>
      <c r="L47" s="1724"/>
      <c r="M47" s="1724"/>
      <c r="N47" s="1724"/>
      <c r="O47" s="1724"/>
      <c r="P47" s="1724"/>
      <c r="Q47" s="1724"/>
      <c r="R47" s="568"/>
    </row>
    <row r="48" spans="1:20" s="566" customFormat="1" ht="17.25" customHeight="1">
      <c r="A48" s="635"/>
      <c r="B48" s="859"/>
      <c r="C48" s="567"/>
      <c r="D48" s="567"/>
      <c r="E48" s="561" t="s">
        <v>255</v>
      </c>
      <c r="F48" s="562" t="s">
        <v>496</v>
      </c>
      <c r="G48" s="577"/>
      <c r="H48" s="564">
        <f>G48*12</f>
        <v>0</v>
      </c>
      <c r="I48" s="564">
        <f>G48</f>
        <v>0</v>
      </c>
      <c r="J48" s="564">
        <f>G48</f>
        <v>0</v>
      </c>
      <c r="K48" s="564">
        <f>H48*7.75%</f>
        <v>0</v>
      </c>
      <c r="L48" s="564"/>
      <c r="M48" s="564">
        <f>H48*7.5%</f>
        <v>0</v>
      </c>
      <c r="N48" s="564"/>
      <c r="O48" s="564">
        <f>H48*1%</f>
        <v>0</v>
      </c>
      <c r="P48" s="564">
        <f>SUM(I48:O48)</f>
        <v>0</v>
      </c>
      <c r="Q48" s="565">
        <f>SUM(H48+P48)</f>
        <v>0</v>
      </c>
      <c r="R48" s="568"/>
    </row>
    <row r="49" spans="1:18" s="566" customFormat="1" ht="0.75" customHeight="1">
      <c r="A49" s="635"/>
      <c r="B49" s="859"/>
      <c r="C49" s="567"/>
      <c r="D49" s="567"/>
      <c r="E49" s="561"/>
      <c r="F49" s="562"/>
      <c r="G49" s="577"/>
      <c r="H49" s="564">
        <f>G49*12</f>
        <v>0</v>
      </c>
      <c r="I49" s="564">
        <f>G49</f>
        <v>0</v>
      </c>
      <c r="J49" s="564">
        <f>G49</f>
        <v>0</v>
      </c>
      <c r="K49" s="564">
        <f>H49*7.75%</f>
        <v>0</v>
      </c>
      <c r="L49" s="564"/>
      <c r="M49" s="564">
        <f>H49*7.5%</f>
        <v>0</v>
      </c>
      <c r="N49" s="564"/>
      <c r="O49" s="564">
        <f>H49*1%</f>
        <v>0</v>
      </c>
      <c r="P49" s="564">
        <f>SUM(I49:O49)</f>
        <v>0</v>
      </c>
      <c r="Q49" s="565">
        <f>SUM(H49+P49)</f>
        <v>0</v>
      </c>
      <c r="R49" s="568"/>
    </row>
    <row r="50" spans="1:18" s="583" customFormat="1" ht="17.25" customHeight="1">
      <c r="A50" s="636"/>
      <c r="B50" s="1720" t="s">
        <v>611</v>
      </c>
      <c r="C50" s="1720"/>
      <c r="D50" s="578"/>
      <c r="E50" s="579"/>
      <c r="F50" s="580"/>
      <c r="G50" s="581">
        <f>SUM(G48:G49)</f>
        <v>0</v>
      </c>
      <c r="H50" s="581">
        <f t="shared" ref="H50:Q50" si="15">SUM(H48:H49)</f>
        <v>0</v>
      </c>
      <c r="I50" s="581">
        <f t="shared" si="15"/>
        <v>0</v>
      </c>
      <c r="J50" s="581">
        <f t="shared" si="15"/>
        <v>0</v>
      </c>
      <c r="K50" s="581">
        <f t="shared" si="15"/>
        <v>0</v>
      </c>
      <c r="L50" s="975">
        <f t="shared" si="15"/>
        <v>0</v>
      </c>
      <c r="M50" s="581">
        <f t="shared" si="15"/>
        <v>0</v>
      </c>
      <c r="N50" s="581">
        <f t="shared" si="15"/>
        <v>0</v>
      </c>
      <c r="O50" s="581">
        <f t="shared" si="15"/>
        <v>0</v>
      </c>
      <c r="P50" s="581">
        <f t="shared" si="15"/>
        <v>0</v>
      </c>
      <c r="Q50" s="581">
        <f t="shared" si="15"/>
        <v>0</v>
      </c>
      <c r="R50" s="582"/>
    </row>
    <row r="51" spans="1:18" s="595" customFormat="1" ht="19.5" customHeight="1">
      <c r="A51" s="631">
        <v>1</v>
      </c>
      <c r="B51" s="612" t="s">
        <v>370</v>
      </c>
      <c r="C51" s="590" t="s">
        <v>371</v>
      </c>
      <c r="D51" s="590" t="s">
        <v>277</v>
      </c>
      <c r="E51" s="589" t="s">
        <v>255</v>
      </c>
      <c r="F51" s="590" t="s">
        <v>263</v>
      </c>
      <c r="G51" s="628">
        <v>1300</v>
      </c>
      <c r="H51" s="592">
        <f t="shared" ref="H51:H57" si="16">G51*12</f>
        <v>15600</v>
      </c>
      <c r="I51" s="592">
        <v>600</v>
      </c>
      <c r="J51" s="592">
        <f t="shared" ref="J51:J57" si="17">G51</f>
        <v>1300</v>
      </c>
      <c r="K51" s="592">
        <f t="shared" ref="K51:K57" si="18">H51*7.75%</f>
        <v>1209</v>
      </c>
      <c r="L51" s="592"/>
      <c r="M51" s="592">
        <f>H51*7.5%</f>
        <v>1170</v>
      </c>
      <c r="N51" s="592"/>
      <c r="O51" s="592">
        <f>H51*1%</f>
        <v>156</v>
      </c>
      <c r="P51" s="592">
        <f t="shared" ref="P51:P57" si="19">SUM(I51:O51)</f>
        <v>4435</v>
      </c>
      <c r="Q51" s="593">
        <f>SUM(H51+P51)</f>
        <v>20035</v>
      </c>
      <c r="R51" s="596"/>
    </row>
    <row r="52" spans="1:18" s="595" customFormat="1" ht="18" customHeight="1">
      <c r="A52" s="631">
        <v>2</v>
      </c>
      <c r="B52" s="612" t="s">
        <v>680</v>
      </c>
      <c r="C52" s="590" t="s">
        <v>681</v>
      </c>
      <c r="D52" s="590" t="s">
        <v>681</v>
      </c>
      <c r="E52" s="589" t="s">
        <v>255</v>
      </c>
      <c r="F52" s="590" t="s">
        <v>263</v>
      </c>
      <c r="G52" s="628">
        <v>400</v>
      </c>
      <c r="H52" s="592">
        <f t="shared" si="16"/>
        <v>4800</v>
      </c>
      <c r="I52" s="592">
        <f t="shared" ref="I52:I57" si="20">G52</f>
        <v>400</v>
      </c>
      <c r="J52" s="592">
        <f t="shared" si="17"/>
        <v>400</v>
      </c>
      <c r="K52" s="592">
        <f t="shared" si="18"/>
        <v>372</v>
      </c>
      <c r="L52" s="592"/>
      <c r="M52" s="592">
        <f>H52*7.5%</f>
        <v>360</v>
      </c>
      <c r="N52" s="592"/>
      <c r="O52" s="592">
        <f>H52*1%</f>
        <v>48</v>
      </c>
      <c r="P52" s="592">
        <f t="shared" si="19"/>
        <v>1580</v>
      </c>
      <c r="Q52" s="593">
        <f t="shared" ref="Q52:Q57" si="21">SUM(H52+P52)</f>
        <v>6380</v>
      </c>
      <c r="R52" s="596"/>
    </row>
    <row r="53" spans="1:18" s="616" customFormat="1" ht="18.600000000000001" customHeight="1">
      <c r="A53" s="631">
        <v>3</v>
      </c>
      <c r="B53" s="612" t="s">
        <v>955</v>
      </c>
      <c r="C53" s="612" t="s">
        <v>956</v>
      </c>
      <c r="D53" s="612" t="s">
        <v>956</v>
      </c>
      <c r="E53" s="611" t="s">
        <v>255</v>
      </c>
      <c r="F53" s="612" t="s">
        <v>263</v>
      </c>
      <c r="G53" s="966">
        <v>450</v>
      </c>
      <c r="H53" s="614">
        <f t="shared" si="16"/>
        <v>5400</v>
      </c>
      <c r="I53" s="614">
        <f t="shared" si="20"/>
        <v>450</v>
      </c>
      <c r="J53" s="614">
        <f t="shared" si="17"/>
        <v>450</v>
      </c>
      <c r="K53" s="614">
        <f t="shared" si="18"/>
        <v>418.5</v>
      </c>
      <c r="L53" s="614"/>
      <c r="M53" s="614">
        <f>H53*7.5%</f>
        <v>405</v>
      </c>
      <c r="N53" s="614"/>
      <c r="O53" s="614">
        <f>H53*1%</f>
        <v>54</v>
      </c>
      <c r="P53" s="614">
        <f t="shared" si="19"/>
        <v>1777.5</v>
      </c>
      <c r="Q53" s="615">
        <f t="shared" si="21"/>
        <v>7177.5</v>
      </c>
      <c r="R53" s="609"/>
    </row>
    <row r="54" spans="1:18" s="595" customFormat="1" ht="25.5" customHeight="1">
      <c r="A54" s="631">
        <v>4</v>
      </c>
      <c r="B54" s="612" t="s">
        <v>675</v>
      </c>
      <c r="C54" s="590" t="s">
        <v>676</v>
      </c>
      <c r="D54" s="590" t="s">
        <v>676</v>
      </c>
      <c r="E54" s="589" t="s">
        <v>255</v>
      </c>
      <c r="F54" s="590" t="s">
        <v>256</v>
      </c>
      <c r="G54" s="628">
        <v>500</v>
      </c>
      <c r="H54" s="592">
        <f t="shared" si="16"/>
        <v>6000</v>
      </c>
      <c r="I54" s="592">
        <f t="shared" si="20"/>
        <v>500</v>
      </c>
      <c r="J54" s="592">
        <f t="shared" si="17"/>
        <v>500</v>
      </c>
      <c r="K54" s="592">
        <f t="shared" si="18"/>
        <v>465</v>
      </c>
      <c r="L54" s="592"/>
      <c r="M54" s="592">
        <f>H54*7.5%</f>
        <v>450</v>
      </c>
      <c r="N54" s="592"/>
      <c r="O54" s="592">
        <f>H54*1%</f>
        <v>60</v>
      </c>
      <c r="P54" s="592">
        <f t="shared" si="19"/>
        <v>1975</v>
      </c>
      <c r="Q54" s="593">
        <f t="shared" si="21"/>
        <v>7975</v>
      </c>
      <c r="R54" s="596"/>
    </row>
    <row r="55" spans="1:18" s="595" customFormat="1">
      <c r="A55" s="631">
        <v>1</v>
      </c>
      <c r="B55" s="609" t="s">
        <v>438</v>
      </c>
      <c r="C55" s="590" t="s">
        <v>439</v>
      </c>
      <c r="D55" s="590" t="s">
        <v>439</v>
      </c>
      <c r="E55" s="589" t="s">
        <v>255</v>
      </c>
      <c r="F55" s="629" t="s">
        <v>263</v>
      </c>
      <c r="G55" s="630">
        <v>370</v>
      </c>
      <c r="H55" s="592">
        <f t="shared" si="16"/>
        <v>4440</v>
      </c>
      <c r="I55" s="592">
        <f t="shared" si="20"/>
        <v>370</v>
      </c>
      <c r="J55" s="592">
        <f t="shared" si="17"/>
        <v>370</v>
      </c>
      <c r="K55" s="592">
        <f t="shared" si="18"/>
        <v>344.1</v>
      </c>
      <c r="L55" s="592"/>
      <c r="M55" s="592">
        <f>IF(G55&gt;1000,1000*7.5%*12,G55*7.5%*12)</f>
        <v>333</v>
      </c>
      <c r="N55" s="592"/>
      <c r="O55" s="592">
        <f>IF(G55&gt;1000,1000*1%*12,G55*1%*12)</f>
        <v>44.400000000000006</v>
      </c>
      <c r="P55" s="592">
        <f t="shared" si="19"/>
        <v>1461.5</v>
      </c>
      <c r="Q55" s="593">
        <f t="shared" si="21"/>
        <v>5901.5</v>
      </c>
      <c r="R55" s="596"/>
    </row>
    <row r="56" spans="1:18" s="595" customFormat="1" hidden="1">
      <c r="A56" s="631">
        <v>2</v>
      </c>
      <c r="B56" s="609" t="s">
        <v>826</v>
      </c>
      <c r="C56" s="590" t="s">
        <v>624</v>
      </c>
      <c r="D56" s="590" t="s">
        <v>624</v>
      </c>
      <c r="E56" s="589" t="s">
        <v>255</v>
      </c>
      <c r="F56" s="629" t="s">
        <v>263</v>
      </c>
      <c r="G56" s="630"/>
      <c r="H56" s="592">
        <f t="shared" si="16"/>
        <v>0</v>
      </c>
      <c r="I56" s="592">
        <f t="shared" si="20"/>
        <v>0</v>
      </c>
      <c r="J56" s="592">
        <f t="shared" si="17"/>
        <v>0</v>
      </c>
      <c r="K56" s="592">
        <f t="shared" si="18"/>
        <v>0</v>
      </c>
      <c r="L56" s="592"/>
      <c r="M56" s="592">
        <f>IF(G56&gt;1000,1000*7.5%*12,G56*7.5%*12)</f>
        <v>0</v>
      </c>
      <c r="N56" s="592"/>
      <c r="O56" s="592">
        <f>IF(G56&gt;1000,1000*1%*12,G56*1%*12)</f>
        <v>0</v>
      </c>
      <c r="P56" s="592">
        <f t="shared" si="19"/>
        <v>0</v>
      </c>
      <c r="Q56" s="593">
        <f t="shared" si="21"/>
        <v>0</v>
      </c>
      <c r="R56" s="596"/>
    </row>
    <row r="57" spans="1:18" s="595" customFormat="1">
      <c r="A57" s="631">
        <v>3</v>
      </c>
      <c r="B57" s="609" t="s">
        <v>936</v>
      </c>
      <c r="C57" s="590" t="s">
        <v>937</v>
      </c>
      <c r="D57" s="590" t="s">
        <v>937</v>
      </c>
      <c r="E57" s="589" t="s">
        <v>255</v>
      </c>
      <c r="F57" s="629" t="s">
        <v>263</v>
      </c>
      <c r="G57" s="630">
        <v>450</v>
      </c>
      <c r="H57" s="592">
        <f t="shared" si="16"/>
        <v>5400</v>
      </c>
      <c r="I57" s="592">
        <f t="shared" si="20"/>
        <v>450</v>
      </c>
      <c r="J57" s="592">
        <f t="shared" si="17"/>
        <v>450</v>
      </c>
      <c r="K57" s="592">
        <f t="shared" si="18"/>
        <v>418.5</v>
      </c>
      <c r="L57" s="592"/>
      <c r="M57" s="592">
        <f>IF(G57&gt;1000,1000*7.5%*12,G57*7.5%*12)</f>
        <v>405</v>
      </c>
      <c r="N57" s="592"/>
      <c r="O57" s="592">
        <f>IF(G57&gt;1000,1000*1%*12,G57*1%*12)</f>
        <v>54</v>
      </c>
      <c r="P57" s="592">
        <f t="shared" si="19"/>
        <v>1777.5</v>
      </c>
      <c r="Q57" s="593">
        <f t="shared" si="21"/>
        <v>7177.5</v>
      </c>
      <c r="R57" s="596"/>
    </row>
    <row r="58" spans="1:18" s="648" customFormat="1" ht="17.25" customHeight="1">
      <c r="A58" s="643"/>
      <c r="B58" s="1716" t="s">
        <v>611</v>
      </c>
      <c r="C58" s="1716"/>
      <c r="D58" s="644"/>
      <c r="E58" s="645"/>
      <c r="F58" s="646"/>
      <c r="G58" s="647">
        <f t="shared" ref="G58:Q58" si="22">SUM(G51:G57)</f>
        <v>3470</v>
      </c>
      <c r="H58" s="647">
        <f t="shared" si="22"/>
        <v>41640</v>
      </c>
      <c r="I58" s="647">
        <f>SUM(I51:I57)</f>
        <v>2770</v>
      </c>
      <c r="J58" s="647">
        <f t="shared" si="22"/>
        <v>3470</v>
      </c>
      <c r="K58" s="647">
        <f t="shared" si="22"/>
        <v>3227.1</v>
      </c>
      <c r="L58" s="647">
        <f t="shared" si="22"/>
        <v>0</v>
      </c>
      <c r="M58" s="647">
        <f t="shared" si="22"/>
        <v>3123</v>
      </c>
      <c r="N58" s="647">
        <f t="shared" si="22"/>
        <v>0</v>
      </c>
      <c r="O58" s="647">
        <f t="shared" si="22"/>
        <v>416.4</v>
      </c>
      <c r="P58" s="647">
        <f t="shared" si="22"/>
        <v>13006.5</v>
      </c>
      <c r="Q58" s="647">
        <f t="shared" si="22"/>
        <v>54646.5</v>
      </c>
      <c r="R58" s="644"/>
    </row>
    <row r="59" spans="1:18" s="648" customFormat="1" ht="17.25" customHeight="1">
      <c r="A59" s="643"/>
      <c r="B59" s="860"/>
      <c r="C59" s="649"/>
      <c r="D59" s="644"/>
      <c r="E59" s="645"/>
      <c r="F59" s="646"/>
      <c r="G59" s="650">
        <f t="shared" ref="G59:Q59" si="23">G50+G58</f>
        <v>3470</v>
      </c>
      <c r="H59" s="650">
        <f t="shared" si="23"/>
        <v>41640</v>
      </c>
      <c r="I59" s="650">
        <f t="shared" si="23"/>
        <v>2770</v>
      </c>
      <c r="J59" s="650">
        <f t="shared" si="23"/>
        <v>3470</v>
      </c>
      <c r="K59" s="650">
        <f t="shared" si="23"/>
        <v>3227.1</v>
      </c>
      <c r="L59" s="650">
        <f t="shared" si="23"/>
        <v>0</v>
      </c>
      <c r="M59" s="650">
        <f t="shared" si="23"/>
        <v>3123</v>
      </c>
      <c r="N59" s="650">
        <f t="shared" si="23"/>
        <v>0</v>
      </c>
      <c r="O59" s="650">
        <f t="shared" si="23"/>
        <v>416.4</v>
      </c>
      <c r="P59" s="650">
        <f t="shared" si="23"/>
        <v>13006.5</v>
      </c>
      <c r="Q59" s="650">
        <f t="shared" si="23"/>
        <v>54646.5</v>
      </c>
      <c r="R59" s="644"/>
    </row>
    <row r="60" spans="1:18" s="657" customFormat="1" ht="17.25" customHeight="1">
      <c r="A60" s="651"/>
      <c r="B60" s="861" t="s">
        <v>607</v>
      </c>
      <c r="C60" s="652"/>
      <c r="D60" s="653"/>
      <c r="E60" s="654"/>
      <c r="F60" s="655"/>
      <c r="G60" s="656"/>
      <c r="H60" s="656"/>
      <c r="I60" s="656"/>
      <c r="J60" s="656"/>
      <c r="K60" s="656"/>
      <c r="L60" s="656"/>
      <c r="M60" s="656"/>
      <c r="N60" s="656"/>
      <c r="O60" s="656"/>
      <c r="P60" s="656"/>
      <c r="Q60" s="656"/>
      <c r="R60" s="653"/>
    </row>
    <row r="61" spans="1:18" s="595" customFormat="1" ht="23.25" customHeight="1">
      <c r="A61" s="631"/>
      <c r="B61" s="609" t="s">
        <v>276</v>
      </c>
      <c r="C61" s="596"/>
      <c r="D61" s="596" t="s">
        <v>372</v>
      </c>
      <c r="E61" s="589" t="s">
        <v>255</v>
      </c>
      <c r="F61" s="590"/>
      <c r="G61" s="1237">
        <v>6560</v>
      </c>
      <c r="H61" s="592">
        <f>G61*14</f>
        <v>91840</v>
      </c>
      <c r="I61" s="592"/>
      <c r="J61" s="592"/>
      <c r="K61" s="592">
        <f>H61*7.75%</f>
        <v>7117.6</v>
      </c>
      <c r="L61" s="592"/>
      <c r="M61" s="592">
        <f>H61*7.5%</f>
        <v>6888</v>
      </c>
      <c r="N61" s="592"/>
      <c r="O61" s="592">
        <f>G61*1%*12</f>
        <v>787.19999999999993</v>
      </c>
      <c r="P61" s="592">
        <f>SUM(J61:O61)</f>
        <v>14792.800000000001</v>
      </c>
      <c r="Q61" s="593">
        <f>SUM(H61+P61)</f>
        <v>106632.8</v>
      </c>
      <c r="R61" s="596"/>
    </row>
    <row r="62" spans="1:18" s="648" customFormat="1" ht="23.25" customHeight="1">
      <c r="A62" s="643"/>
      <c r="B62" s="1717" t="s">
        <v>612</v>
      </c>
      <c r="C62" s="1717"/>
      <c r="D62" s="658"/>
      <c r="E62" s="645"/>
      <c r="F62" s="659"/>
      <c r="G62" s="647">
        <f>SUM(G60:G61)</f>
        <v>6560</v>
      </c>
      <c r="H62" s="660">
        <f>SUM(H60:H61)</f>
        <v>91840</v>
      </c>
      <c r="I62" s="660">
        <f>SUM(I60:I61)</f>
        <v>0</v>
      </c>
      <c r="J62" s="660">
        <f t="shared" ref="J62:Q62" si="24">SUM(J60:J61)</f>
        <v>0</v>
      </c>
      <c r="K62" s="660">
        <f t="shared" si="24"/>
        <v>7117.6</v>
      </c>
      <c r="L62" s="660">
        <f t="shared" si="24"/>
        <v>0</v>
      </c>
      <c r="M62" s="660">
        <f t="shared" si="24"/>
        <v>6888</v>
      </c>
      <c r="N62" s="660">
        <f t="shared" si="24"/>
        <v>0</v>
      </c>
      <c r="O62" s="660">
        <f t="shared" si="24"/>
        <v>787.19999999999993</v>
      </c>
      <c r="P62" s="660">
        <f t="shared" si="24"/>
        <v>14792.800000000001</v>
      </c>
      <c r="Q62" s="660">
        <f t="shared" si="24"/>
        <v>106632.8</v>
      </c>
      <c r="R62" s="644"/>
    </row>
    <row r="63" spans="1:18" s="648" customFormat="1" ht="23.25" customHeight="1">
      <c r="A63" s="643"/>
      <c r="B63" s="1716" t="s">
        <v>613</v>
      </c>
      <c r="C63" s="1716"/>
      <c r="D63" s="658"/>
      <c r="E63" s="645"/>
      <c r="F63" s="659"/>
      <c r="G63" s="647">
        <f>G58+G62</f>
        <v>10030</v>
      </c>
      <c r="H63" s="647">
        <f>H58+H62</f>
        <v>133480</v>
      </c>
      <c r="I63" s="647">
        <f>I58+I62</f>
        <v>2770</v>
      </c>
      <c r="J63" s="647">
        <f t="shared" ref="J63:Q63" si="25">J58+J62</f>
        <v>3470</v>
      </c>
      <c r="K63" s="647">
        <f t="shared" si="25"/>
        <v>10344.700000000001</v>
      </c>
      <c r="L63" s="647">
        <f t="shared" si="25"/>
        <v>0</v>
      </c>
      <c r="M63" s="647">
        <f t="shared" si="25"/>
        <v>10011</v>
      </c>
      <c r="N63" s="647">
        <f t="shared" si="25"/>
        <v>0</v>
      </c>
      <c r="O63" s="647">
        <f t="shared" si="25"/>
        <v>1203.5999999999999</v>
      </c>
      <c r="P63" s="647">
        <f t="shared" si="25"/>
        <v>27799.300000000003</v>
      </c>
      <c r="Q63" s="647">
        <f t="shared" si="25"/>
        <v>161279.29999999999</v>
      </c>
      <c r="R63" s="644"/>
    </row>
    <row r="64" spans="1:18" s="648" customFormat="1" ht="25.5" customHeight="1">
      <c r="A64" s="661"/>
      <c r="B64" s="862" t="s">
        <v>608</v>
      </c>
      <c r="C64" s="662"/>
      <c r="D64" s="662"/>
      <c r="E64" s="663"/>
      <c r="F64" s="663"/>
      <c r="G64" s="664">
        <f>SUM(G35+G42+G63)</f>
        <v>12497</v>
      </c>
      <c r="H64" s="664">
        <f t="shared" ref="H64:Q64" si="26">SUM(H35+H42+H63)</f>
        <v>163084</v>
      </c>
      <c r="I64" s="664">
        <f t="shared" si="26"/>
        <v>5237</v>
      </c>
      <c r="J64" s="664">
        <f t="shared" si="26"/>
        <v>5937</v>
      </c>
      <c r="K64" s="664">
        <f t="shared" si="26"/>
        <v>12639.01</v>
      </c>
      <c r="L64" s="664">
        <f t="shared" si="26"/>
        <v>0</v>
      </c>
      <c r="M64" s="664">
        <f>SUM(M35+M42+M63)</f>
        <v>12231.3</v>
      </c>
      <c r="N64" s="664">
        <f t="shared" si="26"/>
        <v>0</v>
      </c>
      <c r="O64" s="664">
        <f t="shared" si="26"/>
        <v>1499.6399999999999</v>
      </c>
      <c r="P64" s="664">
        <f>SUM(P35+P42+P63)</f>
        <v>37543.950000000004</v>
      </c>
      <c r="Q64" s="664">
        <f t="shared" si="26"/>
        <v>200627.94999999998</v>
      </c>
      <c r="R64" s="644"/>
    </row>
    <row r="65" spans="1:18" s="40" customFormat="1" ht="15.75" hidden="1">
      <c r="A65" s="641"/>
      <c r="B65" s="863"/>
      <c r="C65" s="555"/>
      <c r="D65" s="555"/>
      <c r="E65" s="556"/>
      <c r="F65" s="556"/>
      <c r="G65" s="557"/>
      <c r="H65" s="557"/>
      <c r="I65" s="557"/>
      <c r="J65" s="557"/>
      <c r="K65" s="557"/>
      <c r="L65" s="557"/>
      <c r="M65" s="557"/>
      <c r="N65" s="557"/>
      <c r="O65" s="557"/>
      <c r="P65" s="557"/>
      <c r="Q65" s="557"/>
      <c r="R65" s="46"/>
    </row>
    <row r="66" spans="1:18" s="40" customFormat="1" ht="15.75">
      <c r="A66" s="641"/>
      <c r="B66" s="863"/>
      <c r="C66" s="555"/>
      <c r="D66" s="555"/>
      <c r="E66" s="556"/>
      <c r="F66" s="556"/>
      <c r="G66" s="557"/>
      <c r="H66" s="557"/>
      <c r="I66" s="557"/>
      <c r="J66" s="557"/>
      <c r="K66" s="557"/>
      <c r="L66" s="557"/>
      <c r="M66" s="557"/>
      <c r="N66" s="557"/>
      <c r="O66" s="557"/>
      <c r="P66" s="557"/>
      <c r="Q66" s="557"/>
      <c r="R66" s="46"/>
    </row>
    <row r="67" spans="1:18" s="44" customFormat="1" ht="30" customHeight="1">
      <c r="A67" s="665"/>
      <c r="B67" s="1718" t="s">
        <v>617</v>
      </c>
      <c r="C67" s="1718"/>
      <c r="D67" s="1718"/>
      <c r="E67" s="1718"/>
      <c r="F67" s="1718"/>
      <c r="G67" s="1718"/>
      <c r="H67" s="1718"/>
      <c r="I67" s="1718"/>
      <c r="J67" s="1718"/>
      <c r="K67" s="1718"/>
      <c r="L67" s="666"/>
      <c r="M67" s="666"/>
      <c r="N67" s="666"/>
      <c r="O67" s="666"/>
      <c r="P67" s="666"/>
      <c r="Q67" s="666"/>
      <c r="R67" s="351"/>
    </row>
    <row r="68" spans="1:18" s="44" customFormat="1" ht="42.75" customHeight="1">
      <c r="A68" s="665"/>
      <c r="B68" s="733" t="s">
        <v>80</v>
      </c>
      <c r="C68" s="734" t="s">
        <v>614</v>
      </c>
      <c r="D68" s="1718" t="s">
        <v>858</v>
      </c>
      <c r="E68" s="1718"/>
      <c r="F68" s="1719" t="s">
        <v>293</v>
      </c>
      <c r="G68" s="1719"/>
      <c r="H68" s="1721" t="s">
        <v>859</v>
      </c>
      <c r="I68" s="1721"/>
      <c r="J68" s="992" t="s">
        <v>615</v>
      </c>
      <c r="K68" s="667" t="s">
        <v>616</v>
      </c>
      <c r="L68" s="666"/>
      <c r="M68" s="666"/>
      <c r="N68" s="666"/>
      <c r="O68" s="666"/>
      <c r="P68" s="666"/>
      <c r="Q68" s="666"/>
      <c r="R68" s="351"/>
    </row>
    <row r="69" spans="1:18" s="203" customFormat="1" ht="21.75" customHeight="1">
      <c r="A69" s="668"/>
      <c r="B69" s="864" t="s">
        <v>282</v>
      </c>
      <c r="C69" s="735">
        <f>H61</f>
        <v>91840</v>
      </c>
      <c r="D69" s="1709">
        <f>M61</f>
        <v>6888</v>
      </c>
      <c r="E69" s="1709"/>
      <c r="F69" s="1658">
        <f>K61</f>
        <v>7117.6</v>
      </c>
      <c r="G69" s="1658"/>
      <c r="H69" s="1658">
        <f>O61</f>
        <v>787.19999999999993</v>
      </c>
      <c r="I69" s="1658"/>
      <c r="J69" s="736"/>
      <c r="K69" s="550"/>
      <c r="L69" s="122"/>
      <c r="M69" s="122"/>
      <c r="N69" s="122"/>
      <c r="O69" s="122"/>
      <c r="P69" s="122"/>
      <c r="Q69" s="122"/>
      <c r="R69" s="47"/>
    </row>
    <row r="70" spans="1:18" s="203" customFormat="1" ht="21.75" customHeight="1">
      <c r="A70" s="668"/>
      <c r="B70" s="865" t="s">
        <v>284</v>
      </c>
      <c r="C70" s="737">
        <f>H50</f>
        <v>0</v>
      </c>
      <c r="D70" s="1643">
        <f>M50</f>
        <v>0</v>
      </c>
      <c r="E70" s="1643"/>
      <c r="F70" s="1648">
        <f>K50</f>
        <v>0</v>
      </c>
      <c r="G70" s="1648"/>
      <c r="H70" s="1648">
        <f>O50</f>
        <v>0</v>
      </c>
      <c r="I70" s="1648"/>
      <c r="J70" s="738">
        <f>I50</f>
        <v>0</v>
      </c>
      <c r="K70" s="737">
        <f>J50</f>
        <v>0</v>
      </c>
      <c r="L70" s="122"/>
      <c r="M70" s="122"/>
      <c r="N70" s="122"/>
      <c r="O70" s="122"/>
      <c r="P70" s="122"/>
      <c r="Q70" s="122"/>
      <c r="R70" s="47"/>
    </row>
    <row r="71" spans="1:18" s="203" customFormat="1" ht="21.75" customHeight="1">
      <c r="A71" s="668"/>
      <c r="B71" s="865" t="s">
        <v>631</v>
      </c>
      <c r="C71" s="737">
        <f>H58</f>
        <v>41640</v>
      </c>
      <c r="D71" s="1712">
        <f>M58</f>
        <v>3123</v>
      </c>
      <c r="E71" s="1713"/>
      <c r="F71" s="1714">
        <f>K58</f>
        <v>3227.1</v>
      </c>
      <c r="G71" s="1715"/>
      <c r="H71" s="1714">
        <f>O58</f>
        <v>416.4</v>
      </c>
      <c r="I71" s="1715"/>
      <c r="J71" s="738">
        <f>I58</f>
        <v>2770</v>
      </c>
      <c r="K71" s="738">
        <f>J58</f>
        <v>3470</v>
      </c>
      <c r="L71" s="122"/>
      <c r="M71" s="122"/>
      <c r="N71" s="122"/>
      <c r="O71" s="122"/>
      <c r="P71" s="122"/>
      <c r="Q71" s="122"/>
      <c r="R71" s="47"/>
    </row>
    <row r="72" spans="1:18" s="203" customFormat="1" ht="0.75" customHeight="1">
      <c r="A72" s="668"/>
      <c r="B72" s="865" t="s">
        <v>631</v>
      </c>
      <c r="C72" s="737"/>
      <c r="D72" s="739"/>
      <c r="E72" s="740"/>
      <c r="F72" s="741"/>
      <c r="G72" s="742"/>
      <c r="H72" s="741"/>
      <c r="I72" s="742"/>
      <c r="J72" s="738"/>
      <c r="K72" s="738"/>
      <c r="L72" s="122"/>
      <c r="M72" s="122"/>
      <c r="N72" s="122"/>
      <c r="O72" s="122"/>
      <c r="P72" s="122"/>
      <c r="Q72" s="122"/>
      <c r="R72" s="47"/>
    </row>
    <row r="73" spans="1:18" s="203" customFormat="1" ht="21.75" customHeight="1">
      <c r="A73" s="668"/>
      <c r="B73" s="743" t="s">
        <v>165</v>
      </c>
      <c r="C73" s="744">
        <f>SUM(C69:C71)</f>
        <v>133480</v>
      </c>
      <c r="D73" s="1710">
        <f>SUM(D69:D71)</f>
        <v>10011</v>
      </c>
      <c r="E73" s="1710"/>
      <c r="F73" s="1711">
        <f>SUM(F69:F71)</f>
        <v>10344.700000000001</v>
      </c>
      <c r="G73" s="1711"/>
      <c r="H73" s="1711">
        <f>SUM(H69:H71)</f>
        <v>1203.5999999999999</v>
      </c>
      <c r="I73" s="1711"/>
      <c r="J73" s="745">
        <f>SUM(J70:J71)</f>
        <v>2770</v>
      </c>
      <c r="K73" s="745">
        <f>SUM(K70:K71)</f>
        <v>3470</v>
      </c>
      <c r="L73" s="122"/>
      <c r="M73" s="122"/>
      <c r="N73" s="122"/>
      <c r="O73" s="122"/>
      <c r="P73" s="122"/>
      <c r="Q73" s="122"/>
      <c r="R73" s="47"/>
    </row>
    <row r="74" spans="1:18" s="40" customFormat="1" ht="21.75" hidden="1" customHeight="1">
      <c r="A74" s="637"/>
      <c r="B74" s="866"/>
      <c r="C74" s="554"/>
      <c r="D74" s="554"/>
      <c r="E74" s="553"/>
      <c r="F74" s="553"/>
      <c r="G74" s="559"/>
      <c r="H74" s="558"/>
      <c r="I74" s="558"/>
      <c r="J74" s="558"/>
      <c r="K74" s="558"/>
      <c r="L74" s="558"/>
      <c r="M74" s="558"/>
      <c r="N74" s="558"/>
      <c r="O74" s="558"/>
      <c r="P74" s="558"/>
      <c r="Q74" s="558"/>
      <c r="R74" s="46"/>
    </row>
    <row r="75" spans="1:18" s="40" customFormat="1" ht="21.75" customHeight="1">
      <c r="A75" s="637"/>
      <c r="B75" s="866"/>
      <c r="C75" s="554"/>
      <c r="D75" s="554"/>
      <c r="E75" s="553"/>
      <c r="F75" s="553"/>
      <c r="G75" s="559"/>
      <c r="H75" s="558"/>
      <c r="I75" s="558"/>
      <c r="J75" s="558"/>
      <c r="K75" s="558"/>
      <c r="L75" s="558"/>
      <c r="M75" s="558"/>
      <c r="N75" s="558"/>
      <c r="O75" s="558"/>
      <c r="P75" s="558"/>
      <c r="Q75" s="558"/>
      <c r="R75" s="46"/>
    </row>
    <row r="76" spans="1:18" s="40" customFormat="1" ht="35.25" customHeight="1">
      <c r="A76" s="637"/>
      <c r="B76" s="1703" t="s">
        <v>850</v>
      </c>
      <c r="C76" s="1703"/>
      <c r="D76" s="1703"/>
      <c r="E76" s="1703"/>
      <c r="F76" s="1703"/>
      <c r="G76" s="1703"/>
      <c r="H76" s="1703"/>
      <c r="I76" s="1703"/>
      <c r="J76" s="1703"/>
      <c r="K76" s="1703"/>
      <c r="L76" s="1703"/>
      <c r="M76" s="1703"/>
      <c r="N76" s="1703"/>
      <c r="O76" s="1703"/>
      <c r="P76" s="1703"/>
      <c r="Q76" s="560"/>
      <c r="R76" s="46"/>
    </row>
    <row r="77" spans="1:18" s="40" customFormat="1" ht="15.75">
      <c r="A77" s="637"/>
      <c r="B77" s="1704" t="s">
        <v>278</v>
      </c>
      <c r="C77" s="1704"/>
      <c r="D77" s="1704"/>
      <c r="E77" s="1704"/>
      <c r="F77" s="1704"/>
      <c r="G77" s="1704"/>
      <c r="H77" s="1705" t="s">
        <v>279</v>
      </c>
      <c r="I77" s="1705"/>
      <c r="J77" s="1705"/>
      <c r="K77" s="1705"/>
      <c r="L77" s="1705"/>
      <c r="M77" s="1705"/>
      <c r="N77" s="1705"/>
      <c r="O77" s="1705"/>
      <c r="P77" s="1705"/>
      <c r="Q77" s="1705"/>
      <c r="R77" s="46"/>
    </row>
    <row r="78" spans="1:18" s="638" customFormat="1" ht="51" customHeight="1">
      <c r="A78" s="637"/>
      <c r="B78" s="1015" t="s">
        <v>32</v>
      </c>
      <c r="C78" s="1018" t="s">
        <v>1004</v>
      </c>
      <c r="D78" s="1018" t="s">
        <v>682</v>
      </c>
      <c r="E78" s="1706" t="s">
        <v>280</v>
      </c>
      <c r="F78" s="1707"/>
      <c r="G78" s="1707"/>
      <c r="H78" s="1696"/>
      <c r="I78" s="1696"/>
      <c r="J78" s="1696"/>
      <c r="K78" s="1696"/>
      <c r="L78" s="1698" t="s">
        <v>861</v>
      </c>
      <c r="M78" s="1708"/>
      <c r="N78" s="1708" t="s">
        <v>635</v>
      </c>
      <c r="O78" s="1708"/>
      <c r="P78" s="1708"/>
      <c r="Q78" s="1019" t="s">
        <v>281</v>
      </c>
      <c r="R78" s="1020"/>
    </row>
    <row r="79" spans="1:18" s="203" customFormat="1" ht="21.75" customHeight="1" thickBot="1">
      <c r="A79" s="668"/>
      <c r="B79" s="867" t="s">
        <v>282</v>
      </c>
      <c r="C79" s="686">
        <f>G34*10</f>
        <v>221097.5</v>
      </c>
      <c r="D79" s="686">
        <f>G34*2</f>
        <v>44219.5</v>
      </c>
      <c r="E79" s="1688">
        <f>C79+D79</f>
        <v>265317</v>
      </c>
      <c r="F79" s="1689"/>
      <c r="G79" s="1690"/>
      <c r="H79" s="1613" t="s">
        <v>858</v>
      </c>
      <c r="I79" s="1614"/>
      <c r="J79" s="1614"/>
      <c r="K79" s="1615"/>
      <c r="L79" s="687"/>
      <c r="M79" s="688"/>
      <c r="N79" s="1616"/>
      <c r="O79" s="1617"/>
      <c r="P79" s="1615"/>
      <c r="Q79" s="689"/>
      <c r="R79" s="47"/>
    </row>
    <row r="80" spans="1:18" s="203" customFormat="1" ht="21.75" customHeight="1" thickBot="1">
      <c r="A80" s="668"/>
      <c r="B80" s="868" t="s">
        <v>284</v>
      </c>
      <c r="C80" s="690">
        <f>H26/12*10</f>
        <v>0</v>
      </c>
      <c r="D80" s="690">
        <f>H26/12*2+C70</f>
        <v>0</v>
      </c>
      <c r="E80" s="1622">
        <f>C80+D80</f>
        <v>0</v>
      </c>
      <c r="F80" s="1623"/>
      <c r="G80" s="1624"/>
      <c r="H80" s="691" t="s">
        <v>285</v>
      </c>
      <c r="I80" s="290"/>
      <c r="J80" s="291"/>
      <c r="K80" s="692"/>
      <c r="L80" s="1625">
        <f>SUM(L34+M34+N34+O34)/12*10</f>
        <v>14566.0375</v>
      </c>
      <c r="M80" s="1626"/>
      <c r="N80" s="1636">
        <f>SUM(L11+M11+N11+O11)/12*2+D69+H69+5798.23</f>
        <v>13473.43</v>
      </c>
      <c r="O80" s="1636"/>
      <c r="P80" s="1637"/>
      <c r="Q80" s="693">
        <f>L80+N80</f>
        <v>28039.467499999999</v>
      </c>
      <c r="R80" s="47"/>
    </row>
    <row r="81" spans="1:18" s="203" customFormat="1" ht="21.75" hidden="1" customHeight="1" thickBot="1">
      <c r="A81" s="694"/>
      <c r="B81" s="868" t="s">
        <v>286</v>
      </c>
      <c r="C81" s="690">
        <f>H29/12*10</f>
        <v>0</v>
      </c>
      <c r="D81" s="690">
        <f>H29/12*2</f>
        <v>0</v>
      </c>
      <c r="E81" s="1622">
        <f>C81+D81</f>
        <v>0</v>
      </c>
      <c r="F81" s="1623"/>
      <c r="G81" s="1624"/>
      <c r="H81" s="695" t="s">
        <v>287</v>
      </c>
      <c r="I81" s="696"/>
      <c r="J81" s="697"/>
      <c r="K81" s="698"/>
      <c r="L81" s="1625">
        <f>SUM(L26+M26+N26+O26)/12*10</f>
        <v>0</v>
      </c>
      <c r="M81" s="1626"/>
      <c r="N81" s="1636">
        <f>SUM(L26+M26+N26+O26)/12*2+D70+H70</f>
        <v>0</v>
      </c>
      <c r="O81" s="1636"/>
      <c r="P81" s="1637"/>
      <c r="Q81" s="699">
        <f>L81+N81</f>
        <v>0</v>
      </c>
      <c r="R81" s="47"/>
    </row>
    <row r="82" spans="1:18" s="203" customFormat="1" ht="21.75" hidden="1" customHeight="1" thickBot="1">
      <c r="A82" s="694"/>
      <c r="B82" s="869" t="s">
        <v>288</v>
      </c>
      <c r="C82" s="690"/>
      <c r="D82" s="690"/>
      <c r="E82" s="1629">
        <f>C82+D82</f>
        <v>0</v>
      </c>
      <c r="F82" s="1630"/>
      <c r="G82" s="1631"/>
      <c r="H82" s="695" t="s">
        <v>289</v>
      </c>
      <c r="I82" s="696"/>
      <c r="J82" s="697"/>
      <c r="K82" s="698"/>
      <c r="L82" s="1625">
        <f>SUM(L29+M29+N29+O29)/12*10</f>
        <v>0</v>
      </c>
      <c r="M82" s="1626"/>
      <c r="N82" s="1636">
        <f>SUM(L29+M29+N29+O29)/12*2</f>
        <v>0</v>
      </c>
      <c r="O82" s="1636"/>
      <c r="P82" s="1637"/>
      <c r="Q82" s="700">
        <f>L82+N82</f>
        <v>0</v>
      </c>
      <c r="R82" s="47"/>
    </row>
    <row r="83" spans="1:18" s="203" customFormat="1" ht="21.75" customHeight="1" thickBot="1">
      <c r="A83" s="694"/>
      <c r="B83" s="870" t="s">
        <v>281</v>
      </c>
      <c r="C83" s="701">
        <f>SUM(C79:C82)</f>
        <v>221097.5</v>
      </c>
      <c r="D83" s="702">
        <f>SUM(D79:D82)</f>
        <v>44219.5</v>
      </c>
      <c r="E83" s="1654">
        <f>C83+D83</f>
        <v>265317</v>
      </c>
      <c r="F83" s="1655"/>
      <c r="G83" s="1656"/>
      <c r="H83" s="703" t="s">
        <v>290</v>
      </c>
      <c r="I83" s="703"/>
      <c r="J83" s="704"/>
      <c r="K83" s="704"/>
      <c r="L83" s="1625"/>
      <c r="M83" s="1626"/>
      <c r="N83" s="1636"/>
      <c r="O83" s="1636"/>
      <c r="P83" s="1637"/>
      <c r="Q83" s="705">
        <f>L83+N83</f>
        <v>0</v>
      </c>
      <c r="R83" s="47"/>
    </row>
    <row r="84" spans="1:18" s="203" customFormat="1" ht="18.75" customHeight="1" thickTop="1" thickBot="1">
      <c r="A84" s="694"/>
      <c r="B84" s="676" t="s">
        <v>291</v>
      </c>
      <c r="C84" s="1632" t="s">
        <v>292</v>
      </c>
      <c r="D84" s="1632"/>
      <c r="E84" s="669"/>
      <c r="F84" s="669"/>
      <c r="G84" s="706"/>
      <c r="H84" s="707" t="s">
        <v>281</v>
      </c>
      <c r="I84" s="707"/>
      <c r="J84" s="707"/>
      <c r="K84" s="707"/>
      <c r="L84" s="1638">
        <f>SUM(L80:M83)</f>
        <v>14566.0375</v>
      </c>
      <c r="M84" s="1639"/>
      <c r="N84" s="1638">
        <f>SUM(N80:P83)</f>
        <v>13473.43</v>
      </c>
      <c r="O84" s="1639"/>
      <c r="P84" s="1639"/>
      <c r="Q84" s="708">
        <f>SUM(Q80:Q83)</f>
        <v>28039.467499999999</v>
      </c>
      <c r="R84" s="47"/>
    </row>
    <row r="85" spans="1:18" s="203" customFormat="1" ht="24.75" customHeight="1" thickTop="1">
      <c r="A85" s="694"/>
      <c r="B85" s="869" t="s">
        <v>910</v>
      </c>
      <c r="C85" s="1652">
        <f>H61</f>
        <v>91840</v>
      </c>
      <c r="D85" s="1653"/>
      <c r="E85" s="709"/>
      <c r="F85" s="669"/>
      <c r="G85" s="669"/>
      <c r="H85" s="1679" t="s">
        <v>293</v>
      </c>
      <c r="I85" s="1680"/>
      <c r="J85" s="1680"/>
      <c r="K85" s="1681"/>
      <c r="L85" s="710"/>
      <c r="M85" s="711"/>
      <c r="N85" s="710"/>
      <c r="O85" s="710"/>
      <c r="P85" s="711"/>
      <c r="Q85" s="712"/>
      <c r="R85" s="47"/>
    </row>
    <row r="86" spans="1:18" s="203" customFormat="1" ht="49.5" customHeight="1" thickBot="1">
      <c r="A86" s="668"/>
      <c r="B86" s="713" t="s">
        <v>433</v>
      </c>
      <c r="C86" s="714" t="s">
        <v>718</v>
      </c>
      <c r="D86" s="1657" t="s">
        <v>1005</v>
      </c>
      <c r="E86" s="1657"/>
      <c r="F86" s="1657" t="s">
        <v>828</v>
      </c>
      <c r="G86" s="1657"/>
      <c r="H86" s="290" t="s">
        <v>294</v>
      </c>
      <c r="I86" s="290"/>
      <c r="J86" s="715"/>
      <c r="K86" s="716"/>
      <c r="L86" s="1633">
        <f>K34/12*10</f>
        <v>16360.05625</v>
      </c>
      <c r="M86" s="1635"/>
      <c r="N86" s="1633">
        <f>K11/12*2+F69+6038.88</f>
        <v>13156.48</v>
      </c>
      <c r="O86" s="1634"/>
      <c r="P86" s="1635"/>
      <c r="Q86" s="717">
        <f>L86+N86</f>
        <v>29516.536249999997</v>
      </c>
      <c r="R86" s="47"/>
    </row>
    <row r="87" spans="1:18" s="203" customFormat="1" ht="19.5" customHeight="1" thickBot="1">
      <c r="A87" s="668"/>
      <c r="B87" s="867" t="s">
        <v>295</v>
      </c>
      <c r="C87" s="683">
        <f>J34</f>
        <v>22109.75</v>
      </c>
      <c r="D87" s="1646">
        <f>I34+J71</f>
        <v>16199.75</v>
      </c>
      <c r="E87" s="1647"/>
      <c r="F87" s="1658">
        <f>J71</f>
        <v>2770</v>
      </c>
      <c r="G87" s="1658"/>
      <c r="H87" s="718" t="s">
        <v>296</v>
      </c>
      <c r="I87" s="719"/>
      <c r="J87" s="720"/>
      <c r="K87" s="721"/>
      <c r="L87" s="1633">
        <f>K26/12*10</f>
        <v>0</v>
      </c>
      <c r="M87" s="1635"/>
      <c r="N87" s="1633">
        <f>K26/12*2+F70</f>
        <v>0</v>
      </c>
      <c r="O87" s="1634"/>
      <c r="P87" s="1635"/>
      <c r="Q87" s="722">
        <f>L87+N87</f>
        <v>0</v>
      </c>
      <c r="R87" s="47"/>
    </row>
    <row r="88" spans="1:18" s="203" customFormat="1" ht="19.5" customHeight="1" thickBot="1">
      <c r="A88" s="668"/>
      <c r="B88" s="868" t="s">
        <v>284</v>
      </c>
      <c r="C88" s="292">
        <f>J26</f>
        <v>0</v>
      </c>
      <c r="D88" s="1650">
        <f>I26+J70</f>
        <v>0</v>
      </c>
      <c r="E88" s="1651"/>
      <c r="F88" s="1648">
        <f>J70</f>
        <v>0</v>
      </c>
      <c r="G88" s="1648"/>
      <c r="H88" s="718" t="s">
        <v>289</v>
      </c>
      <c r="I88" s="719"/>
      <c r="J88" s="723"/>
      <c r="K88" s="724"/>
      <c r="L88" s="1633">
        <f>K29/12*10</f>
        <v>0</v>
      </c>
      <c r="M88" s="1635"/>
      <c r="N88" s="1633">
        <f>K29/12*2</f>
        <v>0</v>
      </c>
      <c r="O88" s="1634"/>
      <c r="P88" s="1635"/>
      <c r="Q88" s="700">
        <f>L88+N88</f>
        <v>0</v>
      </c>
      <c r="R88" s="47"/>
    </row>
    <row r="89" spans="1:18" s="203" customFormat="1" ht="19.5" customHeight="1" thickBot="1">
      <c r="A89" s="668"/>
      <c r="B89" s="868" t="s">
        <v>286</v>
      </c>
      <c r="C89" s="292">
        <f>J29</f>
        <v>0</v>
      </c>
      <c r="D89" s="1650">
        <f>I29</f>
        <v>0</v>
      </c>
      <c r="E89" s="1651"/>
      <c r="F89" s="1648"/>
      <c r="G89" s="1648"/>
      <c r="H89" s="718" t="s">
        <v>290</v>
      </c>
      <c r="I89" s="719"/>
      <c r="J89" s="723"/>
      <c r="K89" s="725"/>
      <c r="L89" s="1633"/>
      <c r="M89" s="1635"/>
      <c r="N89" s="1633"/>
      <c r="O89" s="1634"/>
      <c r="P89" s="1635"/>
      <c r="Q89" s="700">
        <f>L89+N89</f>
        <v>0</v>
      </c>
      <c r="R89" s="47"/>
    </row>
    <row r="90" spans="1:18" s="203" customFormat="1" ht="19.5" customHeight="1" thickBot="1">
      <c r="A90" s="668"/>
      <c r="B90" s="864" t="s">
        <v>288</v>
      </c>
      <c r="C90" s="726"/>
      <c r="D90" s="1683"/>
      <c r="E90" s="1684"/>
      <c r="F90" s="1648"/>
      <c r="G90" s="1648"/>
      <c r="H90" s="727" t="s">
        <v>281</v>
      </c>
      <c r="I90" s="728"/>
      <c r="J90" s="728"/>
      <c r="K90" s="729"/>
      <c r="L90" s="1685">
        <f>SUM(L86:M89)</f>
        <v>16360.05625</v>
      </c>
      <c r="M90" s="1686"/>
      <c r="N90" s="1685">
        <f>SUM(N86:P89)</f>
        <v>13156.48</v>
      </c>
      <c r="O90" s="1687"/>
      <c r="P90" s="1686"/>
      <c r="Q90" s="730">
        <f>SUM(Q86:Q89)</f>
        <v>29516.536249999997</v>
      </c>
      <c r="R90" s="47"/>
    </row>
    <row r="91" spans="1:18" s="203" customFormat="1" ht="19.5" customHeight="1" thickTop="1" thickBot="1">
      <c r="A91" s="668"/>
      <c r="B91" s="871" t="s">
        <v>281</v>
      </c>
      <c r="C91" s="708">
        <f>SUM(C87:C90)</f>
        <v>22109.75</v>
      </c>
      <c r="D91" s="1671">
        <f>SUM(D87:D90)</f>
        <v>16199.75</v>
      </c>
      <c r="E91" s="1672"/>
      <c r="F91" s="1649">
        <f>SUM(F87:G90)</f>
        <v>2770</v>
      </c>
      <c r="G91" s="1649"/>
      <c r="H91" s="731"/>
      <c r="I91" s="675"/>
      <c r="J91" s="675"/>
      <c r="K91" s="732"/>
      <c r="L91" s="116"/>
      <c r="M91" s="117"/>
      <c r="N91" s="116"/>
      <c r="O91" s="116"/>
      <c r="P91" s="117"/>
      <c r="Q91" s="118"/>
      <c r="R91" s="47"/>
    </row>
    <row r="92" spans="1:18" s="203" customFormat="1" ht="19.5" customHeight="1" thickTop="1" thickBot="1">
      <c r="A92" s="668"/>
      <c r="B92" s="872"/>
      <c r="C92" s="669"/>
      <c r="D92" s="669"/>
      <c r="E92" s="120"/>
      <c r="F92" s="120"/>
      <c r="G92" s="121"/>
      <c r="H92" s="1673" t="s">
        <v>297</v>
      </c>
      <c r="I92" s="1674"/>
      <c r="J92" s="1675"/>
      <c r="K92" s="1676"/>
      <c r="L92" s="1677"/>
      <c r="M92" s="1678"/>
      <c r="N92" s="1677"/>
      <c r="O92" s="1682"/>
      <c r="P92" s="1678"/>
      <c r="Q92" s="119">
        <f>L92+N92</f>
        <v>0</v>
      </c>
      <c r="R92" s="47"/>
    </row>
    <row r="93" spans="1:18" s="203" customFormat="1" ht="15.75" customHeight="1">
      <c r="A93" s="668"/>
      <c r="B93" s="673"/>
      <c r="C93" s="216"/>
      <c r="D93" s="1627"/>
      <c r="E93" s="1627"/>
      <c r="F93" s="216"/>
      <c r="I93" s="670"/>
      <c r="J93" s="671"/>
      <c r="K93" s="671"/>
      <c r="L93" s="481"/>
      <c r="M93" s="481"/>
      <c r="N93" s="481"/>
      <c r="O93" s="481"/>
      <c r="P93" s="481"/>
      <c r="Q93" s="218"/>
      <c r="R93" s="47"/>
    </row>
    <row r="94" spans="1:18" s="203" customFormat="1" ht="38.25" hidden="1" customHeight="1">
      <c r="A94" s="668"/>
      <c r="B94" s="673"/>
      <c r="C94" s="216"/>
      <c r="D94" s="672"/>
      <c r="E94" s="672"/>
      <c r="F94" s="216"/>
      <c r="I94" s="670"/>
      <c r="J94" s="671"/>
      <c r="K94" s="671"/>
      <c r="L94" s="481"/>
      <c r="M94" s="481"/>
      <c r="N94" s="481"/>
      <c r="O94" s="481"/>
      <c r="P94" s="481"/>
      <c r="Q94" s="218"/>
      <c r="R94" s="47"/>
    </row>
    <row r="95" spans="1:18" s="203" customFormat="1" ht="38.25" hidden="1" customHeight="1">
      <c r="A95" s="668"/>
      <c r="B95" s="673"/>
      <c r="C95" s="216"/>
      <c r="D95" s="672"/>
      <c r="E95" s="672"/>
      <c r="F95" s="216"/>
      <c r="I95" s="670"/>
      <c r="J95" s="671"/>
      <c r="K95" s="671"/>
      <c r="L95" s="481"/>
      <c r="M95" s="481"/>
      <c r="N95" s="481"/>
      <c r="O95" s="481"/>
      <c r="P95" s="481"/>
      <c r="Q95" s="218"/>
      <c r="R95" s="47"/>
    </row>
    <row r="96" spans="1:18" s="203" customFormat="1" ht="38.25" hidden="1" customHeight="1">
      <c r="A96" s="668"/>
      <c r="B96" s="673"/>
      <c r="E96" s="215"/>
      <c r="F96" s="216"/>
      <c r="I96" s="670"/>
      <c r="J96" s="671"/>
      <c r="K96" s="671"/>
      <c r="L96" s="481"/>
      <c r="M96" s="481"/>
      <c r="N96" s="481"/>
      <c r="O96" s="481"/>
      <c r="P96" s="481"/>
      <c r="Q96" s="218"/>
      <c r="R96" s="47"/>
    </row>
    <row r="97" spans="1:19" s="203" customFormat="1" ht="38.25" hidden="1" customHeight="1">
      <c r="A97" s="668"/>
      <c r="B97" s="673"/>
      <c r="C97" s="216"/>
      <c r="D97" s="1627"/>
      <c r="E97" s="1627"/>
      <c r="F97" s="216"/>
      <c r="G97" s="673"/>
      <c r="H97" s="1628"/>
      <c r="I97" s="1628"/>
      <c r="J97" s="671"/>
      <c r="K97" s="671"/>
      <c r="L97" s="481"/>
      <c r="M97" s="481"/>
      <c r="N97" s="481"/>
      <c r="O97" s="481"/>
      <c r="P97" s="481"/>
      <c r="Q97" s="218"/>
      <c r="R97" s="47"/>
    </row>
    <row r="98" spans="1:19" s="203" customFormat="1" ht="38.25" hidden="1" customHeight="1" thickBot="1">
      <c r="A98" s="668"/>
      <c r="B98" s="673"/>
      <c r="E98" s="215"/>
      <c r="F98" s="216"/>
      <c r="G98" s="672"/>
      <c r="H98" s="1645"/>
      <c r="I98" s="1645"/>
      <c r="J98" s="671"/>
      <c r="K98" s="674"/>
      <c r="L98" s="1642"/>
      <c r="M98" s="1642"/>
      <c r="N98" s="1621"/>
      <c r="O98" s="1621"/>
      <c r="P98" s="481"/>
      <c r="Q98" s="218"/>
      <c r="R98" s="47"/>
    </row>
    <row r="99" spans="1:19" s="203" customFormat="1" ht="38.25" hidden="1" customHeight="1" thickTop="1">
      <c r="A99" s="668"/>
      <c r="B99" s="673"/>
      <c r="E99" s="215"/>
      <c r="F99" s="216"/>
      <c r="I99" s="670"/>
      <c r="J99" s="671"/>
      <c r="K99" s="671"/>
      <c r="L99" s="481"/>
      <c r="M99" s="481"/>
      <c r="N99" s="481"/>
      <c r="O99" s="481"/>
      <c r="P99" s="481"/>
      <c r="Q99" s="218"/>
      <c r="R99" s="47"/>
    </row>
    <row r="100" spans="1:19" s="203" customFormat="1" ht="38.25" hidden="1" customHeight="1">
      <c r="A100" s="668"/>
      <c r="B100" s="673"/>
      <c r="E100" s="215"/>
      <c r="F100" s="217"/>
      <c r="I100" s="670"/>
      <c r="J100" s="671"/>
      <c r="K100" s="671"/>
      <c r="L100" s="481"/>
      <c r="M100" s="481"/>
      <c r="N100" s="481"/>
      <c r="O100" s="481"/>
      <c r="P100" s="481"/>
      <c r="Q100" s="218"/>
      <c r="R100" s="47"/>
    </row>
    <row r="101" spans="1:19" s="203" customFormat="1" ht="38.25" hidden="1" customHeight="1">
      <c r="A101" s="668"/>
      <c r="B101" s="673"/>
      <c r="E101" s="215"/>
      <c r="F101" s="216"/>
      <c r="I101" s="670"/>
      <c r="J101" s="671"/>
      <c r="K101" s="671"/>
      <c r="L101" s="481"/>
      <c r="M101" s="481"/>
      <c r="N101" s="481"/>
      <c r="O101" s="481"/>
      <c r="P101" s="481"/>
      <c r="Q101" s="218"/>
      <c r="R101" s="47"/>
    </row>
    <row r="102" spans="1:19" s="203" customFormat="1" ht="20.25" customHeight="1">
      <c r="A102" s="668"/>
      <c r="B102" s="673"/>
      <c r="E102" s="215"/>
      <c r="F102" s="217"/>
      <c r="I102" s="122"/>
      <c r="J102" s="122"/>
      <c r="K102" s="122"/>
      <c r="L102" s="675"/>
      <c r="M102" s="122"/>
      <c r="N102" s="122"/>
      <c r="O102" s="122"/>
      <c r="P102" s="122"/>
      <c r="Q102" s="122"/>
      <c r="R102" s="47"/>
    </row>
    <row r="103" spans="1:19" s="203" customFormat="1" ht="42" customHeight="1">
      <c r="A103" s="544"/>
      <c r="B103" s="676" t="s">
        <v>32</v>
      </c>
      <c r="C103" s="677" t="s">
        <v>763</v>
      </c>
      <c r="D103" s="217"/>
      <c r="E103" s="217"/>
      <c r="F103" s="217"/>
      <c r="G103" s="678"/>
      <c r="H103" s="1666"/>
      <c r="I103" s="1666"/>
      <c r="J103" s="1666"/>
      <c r="K103" s="1666"/>
      <c r="L103" s="1668" t="s">
        <v>764</v>
      </c>
      <c r="M103" s="1669"/>
      <c r="N103" s="1666"/>
      <c r="O103" s="1666"/>
      <c r="P103" s="1663" t="s">
        <v>764</v>
      </c>
      <c r="Q103" s="1664"/>
      <c r="R103" s="1661"/>
      <c r="S103" s="1662"/>
    </row>
    <row r="104" spans="1:19" s="203" customFormat="1" ht="18.75" customHeight="1" thickBot="1">
      <c r="A104" s="679"/>
      <c r="B104" s="873" t="s">
        <v>449</v>
      </c>
      <c r="C104" s="680">
        <f>H42/12*12</f>
        <v>29604</v>
      </c>
      <c r="D104" s="217"/>
      <c r="E104" s="217"/>
      <c r="F104" s="217"/>
      <c r="H104" s="1670" t="s">
        <v>283</v>
      </c>
      <c r="I104" s="1670"/>
      <c r="J104" s="1670"/>
      <c r="K104" s="1670"/>
      <c r="L104" s="1659"/>
      <c r="M104" s="1660"/>
      <c r="N104" s="1665" t="s">
        <v>293</v>
      </c>
      <c r="O104" s="1665"/>
      <c r="P104" s="1665"/>
      <c r="Q104" s="1665"/>
    </row>
    <row r="105" spans="1:19" s="203" customFormat="1" ht="18.75" customHeight="1">
      <c r="A105" s="679"/>
      <c r="B105" s="874" t="s">
        <v>909</v>
      </c>
      <c r="C105" s="681">
        <f>H46/12*12</f>
        <v>0</v>
      </c>
      <c r="H105" s="1618" t="s">
        <v>449</v>
      </c>
      <c r="I105" s="1619"/>
      <c r="J105" s="1619"/>
      <c r="K105" s="1620"/>
      <c r="L105" s="1643">
        <f>SUM(L42+M42+O42)/12*12</f>
        <v>2516.34</v>
      </c>
      <c r="M105" s="1644"/>
      <c r="N105" s="1618" t="s">
        <v>449</v>
      </c>
      <c r="O105" s="1619"/>
      <c r="P105" s="1620"/>
      <c r="Q105" s="551">
        <f>K42/12*12</f>
        <v>2294.31</v>
      </c>
    </row>
    <row r="106" spans="1:19" s="203" customFormat="1" ht="25.5" customHeight="1">
      <c r="A106" s="679"/>
      <c r="B106" s="676" t="s">
        <v>433</v>
      </c>
      <c r="C106" s="682" t="s">
        <v>450</v>
      </c>
      <c r="D106" s="1632" t="s">
        <v>827</v>
      </c>
      <c r="E106" s="1632"/>
      <c r="H106" s="1618" t="s">
        <v>809</v>
      </c>
      <c r="I106" s="1619"/>
      <c r="J106" s="1619"/>
      <c r="K106" s="1620"/>
      <c r="L106" s="1643">
        <f>SUM(L46+M46+O46)/12*12</f>
        <v>0</v>
      </c>
      <c r="M106" s="1644"/>
      <c r="N106" s="1618" t="s">
        <v>809</v>
      </c>
      <c r="O106" s="1619"/>
      <c r="P106" s="1620"/>
      <c r="Q106" s="551">
        <f>K46/12*12</f>
        <v>0</v>
      </c>
    </row>
    <row r="107" spans="1:19" s="203" customFormat="1" ht="21" customHeight="1" thickBot="1">
      <c r="A107" s="679"/>
      <c r="B107" s="875" t="s">
        <v>449</v>
      </c>
      <c r="C107" s="683">
        <f>J42</f>
        <v>2467</v>
      </c>
      <c r="D107" s="680">
        <f>I42</f>
        <v>2467</v>
      </c>
      <c r="E107" s="684"/>
      <c r="H107" s="1640"/>
      <c r="I107" s="1640"/>
      <c r="J107" s="1641"/>
      <c r="K107" s="1641"/>
      <c r="L107" s="1642"/>
      <c r="M107" s="1642"/>
    </row>
    <row r="108" spans="1:19" s="203" customFormat="1" ht="21.75" customHeight="1" thickBot="1">
      <c r="A108" s="679"/>
      <c r="B108" s="876" t="s">
        <v>909</v>
      </c>
      <c r="C108" s="292">
        <f>J46</f>
        <v>0</v>
      </c>
      <c r="D108" s="293">
        <f>I46</f>
        <v>0</v>
      </c>
      <c r="E108" s="685"/>
    </row>
    <row r="109" spans="1:19">
      <c r="B109" s="877"/>
      <c r="F109" s="38"/>
    </row>
    <row r="110" spans="1:19">
      <c r="B110" s="877"/>
    </row>
    <row r="111" spans="1:19">
      <c r="B111" s="877" t="s">
        <v>898</v>
      </c>
    </row>
    <row r="112" spans="1:19">
      <c r="B112" s="877"/>
    </row>
  </sheetData>
  <mergeCells count="116">
    <mergeCell ref="B35:D35"/>
    <mergeCell ref="B58:C58"/>
    <mergeCell ref="B63:C63"/>
    <mergeCell ref="B62:C62"/>
    <mergeCell ref="H69:I69"/>
    <mergeCell ref="B67:K67"/>
    <mergeCell ref="D68:E68"/>
    <mergeCell ref="F68:G68"/>
    <mergeCell ref="B50:C50"/>
    <mergeCell ref="H68:I68"/>
    <mergeCell ref="F69:G69"/>
    <mergeCell ref="A36:Q36"/>
    <mergeCell ref="A44:Q44"/>
    <mergeCell ref="C47:Q47"/>
    <mergeCell ref="A47:B47"/>
    <mergeCell ref="B76:P76"/>
    <mergeCell ref="B77:G77"/>
    <mergeCell ref="H77:Q77"/>
    <mergeCell ref="E78:G78"/>
    <mergeCell ref="H78:K78"/>
    <mergeCell ref="L78:M78"/>
    <mergeCell ref="N78:P78"/>
    <mergeCell ref="D69:E69"/>
    <mergeCell ref="D70:E70"/>
    <mergeCell ref="D73:E73"/>
    <mergeCell ref="F70:G70"/>
    <mergeCell ref="F73:G73"/>
    <mergeCell ref="D71:E71"/>
    <mergeCell ref="F71:G71"/>
    <mergeCell ref="H71:I71"/>
    <mergeCell ref="H70:I70"/>
    <mergeCell ref="H73:I73"/>
    <mergeCell ref="A2:Q2"/>
    <mergeCell ref="A3:Q3"/>
    <mergeCell ref="A4:Q4"/>
    <mergeCell ref="A5:A7"/>
    <mergeCell ref="B5:B7"/>
    <mergeCell ref="C5:C7"/>
    <mergeCell ref="D5:D7"/>
    <mergeCell ref="E5:E7"/>
    <mergeCell ref="F5:F7"/>
    <mergeCell ref="G5:H6"/>
    <mergeCell ref="K5:P5"/>
    <mergeCell ref="Q5:Q7"/>
    <mergeCell ref="I5:J6"/>
    <mergeCell ref="L6:O6"/>
    <mergeCell ref="P6:P7"/>
    <mergeCell ref="R103:S103"/>
    <mergeCell ref="P103:Q103"/>
    <mergeCell ref="N104:Q104"/>
    <mergeCell ref="N103:O103"/>
    <mergeCell ref="B34:E34"/>
    <mergeCell ref="H103:K103"/>
    <mergeCell ref="L103:M103"/>
    <mergeCell ref="H104:K104"/>
    <mergeCell ref="D91:E91"/>
    <mergeCell ref="H92:K92"/>
    <mergeCell ref="L92:M92"/>
    <mergeCell ref="L87:M87"/>
    <mergeCell ref="H85:K85"/>
    <mergeCell ref="D86:E86"/>
    <mergeCell ref="L86:M86"/>
    <mergeCell ref="N92:P92"/>
    <mergeCell ref="D89:E89"/>
    <mergeCell ref="L89:M89"/>
    <mergeCell ref="N89:P89"/>
    <mergeCell ref="D90:E90"/>
    <mergeCell ref="L90:M90"/>
    <mergeCell ref="N90:P90"/>
    <mergeCell ref="N87:P87"/>
    <mergeCell ref="E79:G79"/>
    <mergeCell ref="H107:K107"/>
    <mergeCell ref="L107:M107"/>
    <mergeCell ref="L105:M105"/>
    <mergeCell ref="E81:G81"/>
    <mergeCell ref="L81:M81"/>
    <mergeCell ref="H98:I98"/>
    <mergeCell ref="D87:E87"/>
    <mergeCell ref="L88:M88"/>
    <mergeCell ref="F89:G89"/>
    <mergeCell ref="F90:G90"/>
    <mergeCell ref="F91:G91"/>
    <mergeCell ref="L106:M106"/>
    <mergeCell ref="L98:M98"/>
    <mergeCell ref="D88:E88"/>
    <mergeCell ref="C84:D84"/>
    <mergeCell ref="C85:D85"/>
    <mergeCell ref="E83:G83"/>
    <mergeCell ref="L83:M83"/>
    <mergeCell ref="L84:M84"/>
    <mergeCell ref="F86:G86"/>
    <mergeCell ref="F87:G87"/>
    <mergeCell ref="F88:G88"/>
    <mergeCell ref="L104:M104"/>
    <mergeCell ref="H105:K105"/>
    <mergeCell ref="H79:K79"/>
    <mergeCell ref="N79:P79"/>
    <mergeCell ref="H106:K106"/>
    <mergeCell ref="N105:P105"/>
    <mergeCell ref="N106:P106"/>
    <mergeCell ref="N98:O98"/>
    <mergeCell ref="E80:G80"/>
    <mergeCell ref="L82:M82"/>
    <mergeCell ref="D93:E93"/>
    <mergeCell ref="D97:E97"/>
    <mergeCell ref="H97:I97"/>
    <mergeCell ref="E82:G82"/>
    <mergeCell ref="D106:E106"/>
    <mergeCell ref="N88:P88"/>
    <mergeCell ref="N86:P86"/>
    <mergeCell ref="N83:P83"/>
    <mergeCell ref="N84:P84"/>
    <mergeCell ref="N82:P82"/>
    <mergeCell ref="L80:M80"/>
    <mergeCell ref="N80:P80"/>
    <mergeCell ref="N81:P81"/>
  </mergeCells>
  <phoneticPr fontId="10" type="noConversion"/>
  <pageMargins left="0" right="0" top="0.94488188976377963" bottom="0.55118110236220474" header="0.31496062992125984" footer="0.31496062992125984"/>
  <pageSetup scale="63" orientation="landscape" verticalDpi="300" r:id="rId1"/>
  <headerFooter alignWithMargins="0"/>
  <rowBreaks count="2" manualBreakCount="2">
    <brk id="46" max="16" man="1"/>
    <brk id="75" max="1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P199"/>
  <sheetViews>
    <sheetView view="pageBreakPreview" topLeftCell="A4" zoomScale="112" zoomScaleNormal="112" zoomScaleSheetLayoutView="112" workbookViewId="0">
      <selection activeCell="A2" sqref="A2:G2"/>
    </sheetView>
  </sheetViews>
  <sheetFormatPr baseColWidth="10" defaultColWidth="11.42578125" defaultRowHeight="12.75"/>
  <cols>
    <col min="1" max="1" width="11" style="203" customWidth="1"/>
    <col min="2" max="2" width="10.5703125" style="203" customWidth="1"/>
    <col min="3" max="3" width="14.7109375" style="203" customWidth="1"/>
    <col min="4" max="4" width="14.42578125" style="203" customWidth="1"/>
    <col min="5" max="5" width="16.5703125" style="203" customWidth="1"/>
    <col min="6" max="6" width="10.140625" style="203" customWidth="1"/>
    <col min="7" max="7" width="11.85546875" style="203" customWidth="1"/>
    <col min="8" max="8" width="22.5703125" style="203" customWidth="1"/>
    <col min="9" max="9" width="11.42578125" style="203"/>
    <col min="10" max="10" width="13.42578125" style="203" bestFit="1" customWidth="1"/>
    <col min="11" max="16384" width="11.42578125" style="203"/>
  </cols>
  <sheetData>
    <row r="1" spans="1:7" ht="9" customHeight="1">
      <c r="A1" s="1361"/>
      <c r="B1" s="1361"/>
      <c r="C1" s="1361"/>
      <c r="D1" s="485"/>
      <c r="E1" s="485"/>
      <c r="F1" s="485"/>
      <c r="G1" s="485"/>
    </row>
    <row r="2" spans="1:7" ht="25.5" customHeight="1">
      <c r="A2" s="1362" t="s">
        <v>316</v>
      </c>
      <c r="B2" s="1362"/>
      <c r="C2" s="1362"/>
      <c r="D2" s="1362"/>
      <c r="E2" s="1362"/>
      <c r="F2" s="1362"/>
      <c r="G2" s="1362"/>
    </row>
    <row r="3" spans="1:7" ht="21" customHeight="1">
      <c r="A3" s="1362" t="s">
        <v>317</v>
      </c>
      <c r="B3" s="1362"/>
      <c r="C3" s="1362"/>
      <c r="D3" s="1362"/>
      <c r="E3" s="1362"/>
      <c r="F3" s="1362"/>
      <c r="G3" s="1362"/>
    </row>
    <row r="4" spans="1:7" ht="21" customHeight="1">
      <c r="A4" s="1209"/>
      <c r="B4" s="1209"/>
      <c r="C4" s="1209"/>
      <c r="D4" s="1209"/>
      <c r="E4" s="1209"/>
      <c r="F4" s="1209"/>
      <c r="G4" s="1209"/>
    </row>
    <row r="5" spans="1:7" ht="21" customHeight="1">
      <c r="A5" s="1214"/>
      <c r="B5" s="1214"/>
      <c r="C5" s="1214"/>
      <c r="D5" s="1214"/>
      <c r="E5" s="1214"/>
      <c r="F5" s="1214"/>
      <c r="G5" s="1214"/>
    </row>
    <row r="6" spans="1:7" ht="14.25" customHeight="1">
      <c r="A6" s="1363" t="s">
        <v>318</v>
      </c>
      <c r="B6" s="1363"/>
      <c r="C6" s="1363"/>
      <c r="D6" s="1363"/>
      <c r="E6" s="1363"/>
      <c r="F6" s="1363"/>
      <c r="G6" s="1363"/>
    </row>
    <row r="7" spans="1:7" ht="16.5" customHeight="1">
      <c r="A7" s="1364" t="s">
        <v>319</v>
      </c>
      <c r="B7" s="1364"/>
      <c r="C7" s="1364"/>
      <c r="D7" s="1364"/>
      <c r="E7" s="1364"/>
      <c r="F7" s="1364"/>
      <c r="G7" s="1364"/>
    </row>
    <row r="8" spans="1:7" ht="29.25" customHeight="1">
      <c r="A8" s="1330" t="s">
        <v>1061</v>
      </c>
      <c r="B8" s="1314"/>
      <c r="C8" s="1314"/>
      <c r="D8" s="1314"/>
      <c r="E8" s="1314"/>
      <c r="F8" s="1314"/>
      <c r="G8" s="1314"/>
    </row>
    <row r="9" spans="1:7" ht="27" customHeight="1">
      <c r="A9" s="1365" t="s">
        <v>320</v>
      </c>
      <c r="B9" s="1365"/>
      <c r="C9" s="1365"/>
      <c r="D9" s="1365"/>
      <c r="E9" s="1365"/>
      <c r="F9" s="1365"/>
      <c r="G9" s="1365"/>
    </row>
    <row r="10" spans="1:7">
      <c r="A10" s="1063"/>
      <c r="B10" s="1063"/>
      <c r="C10" s="1063"/>
      <c r="D10" s="1063"/>
      <c r="E10" s="1063"/>
      <c r="F10" s="1063"/>
      <c r="G10" s="1063"/>
    </row>
    <row r="11" spans="1:7">
      <c r="A11" s="1347" t="s">
        <v>1045</v>
      </c>
      <c r="B11" s="1348"/>
      <c r="C11" s="1348"/>
      <c r="D11" s="1348"/>
      <c r="E11" s="1348"/>
      <c r="F11" s="1348"/>
      <c r="G11" s="1348"/>
    </row>
    <row r="12" spans="1:7">
      <c r="A12" s="1348" t="s">
        <v>321</v>
      </c>
      <c r="B12" s="1348"/>
      <c r="C12" s="1348"/>
      <c r="D12" s="1348"/>
      <c r="E12" s="1348"/>
      <c r="F12" s="1348"/>
      <c r="G12" s="1348"/>
    </row>
    <row r="13" spans="1:7">
      <c r="A13" s="1348" t="s">
        <v>322</v>
      </c>
      <c r="B13" s="1348"/>
      <c r="C13" s="1348"/>
      <c r="D13" s="1348"/>
      <c r="E13" s="1348"/>
      <c r="F13" s="1348"/>
      <c r="G13" s="1348"/>
    </row>
    <row r="14" spans="1:7" ht="6.75" customHeight="1">
      <c r="A14" s="485"/>
      <c r="B14" s="485"/>
      <c r="C14" s="485"/>
      <c r="D14" s="485"/>
      <c r="E14" s="485"/>
      <c r="F14" s="485"/>
      <c r="G14" s="485"/>
    </row>
    <row r="15" spans="1:7" ht="24.75" customHeight="1">
      <c r="A15" s="1215" t="s">
        <v>323</v>
      </c>
      <c r="B15" s="1349" t="s">
        <v>408</v>
      </c>
      <c r="C15" s="1350"/>
      <c r="D15" s="1350"/>
      <c r="E15" s="1350"/>
      <c r="F15" s="1356" t="s">
        <v>324</v>
      </c>
      <c r="G15" s="1357"/>
    </row>
    <row r="16" spans="1:7">
      <c r="A16" s="486">
        <v>11</v>
      </c>
      <c r="B16" s="1358" t="s">
        <v>201</v>
      </c>
      <c r="C16" s="1358"/>
      <c r="D16" s="1358"/>
      <c r="E16" s="1358"/>
      <c r="F16" s="1359">
        <f>SUM(INGRESOS!M9:M16)</f>
        <v>49042.41</v>
      </c>
      <c r="G16" s="1360"/>
    </row>
    <row r="17" spans="1:7">
      <c r="A17" s="487">
        <v>12</v>
      </c>
      <c r="B17" s="1354" t="s">
        <v>325</v>
      </c>
      <c r="C17" s="1354"/>
      <c r="D17" s="1354"/>
      <c r="E17" s="1354"/>
      <c r="F17" s="1353">
        <f>SUM(INGRESOS!M17:M31)</f>
        <v>165576.94</v>
      </c>
      <c r="G17" s="1353"/>
    </row>
    <row r="18" spans="1:7">
      <c r="A18" s="487">
        <v>14</v>
      </c>
      <c r="B18" s="1354" t="s">
        <v>326</v>
      </c>
      <c r="C18" s="1354"/>
      <c r="D18" s="1354"/>
      <c r="E18" s="1354"/>
      <c r="F18" s="1353">
        <f>SUM(INGRESOS!M32:M33)</f>
        <v>13032.029999999999</v>
      </c>
      <c r="G18" s="1353"/>
    </row>
    <row r="19" spans="1:7">
      <c r="A19" s="487">
        <v>15</v>
      </c>
      <c r="B19" s="1354" t="s">
        <v>327</v>
      </c>
      <c r="C19" s="1354"/>
      <c r="D19" s="1354"/>
      <c r="E19" s="1354"/>
      <c r="F19" s="1355">
        <f>SUM(INGRESOS!M35:M40)</f>
        <v>14798.189999999999</v>
      </c>
      <c r="G19" s="1353"/>
    </row>
    <row r="20" spans="1:7">
      <c r="A20" s="487">
        <v>16</v>
      </c>
      <c r="B20" s="1354" t="s">
        <v>106</v>
      </c>
      <c r="C20" s="1354"/>
      <c r="D20" s="1354"/>
      <c r="E20" s="1354"/>
      <c r="F20" s="1353">
        <f>SUM(INGRESOS!M41)</f>
        <v>371912.88</v>
      </c>
      <c r="G20" s="1353"/>
    </row>
    <row r="21" spans="1:7" hidden="1">
      <c r="A21" s="487">
        <v>22</v>
      </c>
      <c r="B21" s="1354" t="s">
        <v>328</v>
      </c>
      <c r="C21" s="1354"/>
      <c r="D21" s="1354"/>
      <c r="E21" s="1354"/>
      <c r="F21" s="1353">
        <f>SUM(INGRESOS!N44)</f>
        <v>192000</v>
      </c>
      <c r="G21" s="1353"/>
    </row>
    <row r="22" spans="1:7" hidden="1">
      <c r="A22" s="487">
        <v>31</v>
      </c>
      <c r="B22" s="1354" t="s">
        <v>329</v>
      </c>
      <c r="C22" s="1354"/>
      <c r="D22" s="1354"/>
      <c r="E22" s="1354"/>
      <c r="F22" s="1353"/>
      <c r="G22" s="1353"/>
    </row>
    <row r="23" spans="1:7">
      <c r="A23" s="487">
        <v>32</v>
      </c>
      <c r="B23" s="1354" t="s">
        <v>226</v>
      </c>
      <c r="C23" s="1354"/>
      <c r="D23" s="1354"/>
      <c r="E23" s="1354"/>
      <c r="F23" s="1353">
        <f>SUM(INGRESOS!M47,INGRESOS!M48,INGRESOS!M49)</f>
        <v>385704.14999999997</v>
      </c>
      <c r="G23" s="1353"/>
    </row>
    <row r="24" spans="1:7" ht="15.75">
      <c r="A24" s="1340" t="s">
        <v>330</v>
      </c>
      <c r="B24" s="1340"/>
      <c r="C24" s="1340"/>
      <c r="D24" s="1340"/>
      <c r="E24" s="1340"/>
      <c r="F24" s="1341">
        <f>SUM(F16:F23)</f>
        <v>1192066.5999999999</v>
      </c>
      <c r="G24" s="1341"/>
    </row>
    <row r="25" spans="1:7" ht="10.5" customHeight="1">
      <c r="A25" s="485"/>
      <c r="B25" s="485"/>
      <c r="C25" s="485"/>
      <c r="D25" s="485"/>
      <c r="E25" s="485"/>
      <c r="F25" s="485"/>
      <c r="G25" s="485"/>
    </row>
    <row r="26" spans="1:7">
      <c r="A26" s="1347" t="s">
        <v>1046</v>
      </c>
      <c r="B26" s="1348"/>
      <c r="C26" s="1348"/>
      <c r="D26" s="1348"/>
      <c r="E26" s="1348"/>
      <c r="F26" s="1348"/>
      <c r="G26" s="1348"/>
    </row>
    <row r="27" spans="1:7">
      <c r="A27" s="1348" t="s">
        <v>321</v>
      </c>
      <c r="B27" s="1348"/>
      <c r="C27" s="1348"/>
      <c r="D27" s="1348"/>
      <c r="E27" s="1348"/>
      <c r="F27" s="1348"/>
      <c r="G27" s="1348"/>
    </row>
    <row r="28" spans="1:7">
      <c r="A28" s="1348" t="s">
        <v>322</v>
      </c>
      <c r="B28" s="1348"/>
      <c r="C28" s="1348"/>
      <c r="D28" s="1348"/>
      <c r="E28" s="1348"/>
      <c r="F28" s="1348"/>
      <c r="G28" s="1348"/>
    </row>
    <row r="29" spans="1:7" ht="7.5" customHeight="1">
      <c r="A29" s="488"/>
      <c r="B29" s="488"/>
      <c r="C29" s="488"/>
      <c r="D29" s="488"/>
      <c r="E29" s="488"/>
      <c r="F29" s="485"/>
      <c r="G29" s="485"/>
    </row>
    <row r="30" spans="1:7" ht="21" customHeight="1">
      <c r="A30" s="1215" t="s">
        <v>323</v>
      </c>
      <c r="B30" s="1349" t="s">
        <v>409</v>
      </c>
      <c r="C30" s="1350"/>
      <c r="D30" s="1350"/>
      <c r="E30" s="1350"/>
      <c r="F30" s="1351" t="s">
        <v>165</v>
      </c>
      <c r="G30" s="1352"/>
    </row>
    <row r="31" spans="1:7">
      <c r="A31" s="487">
        <v>51</v>
      </c>
      <c r="B31" s="1337" t="s">
        <v>331</v>
      </c>
      <c r="C31" s="1337"/>
      <c r="D31" s="1337"/>
      <c r="E31" s="1337"/>
      <c r="F31" s="1353">
        <f>SUM('CONCENTRACION DE EGRESOS 2023'!K21)</f>
        <v>721052.55125000002</v>
      </c>
      <c r="G31" s="1353"/>
    </row>
    <row r="32" spans="1:7">
      <c r="A32" s="487">
        <v>54</v>
      </c>
      <c r="B32" s="1337" t="s">
        <v>332</v>
      </c>
      <c r="C32" s="1337"/>
      <c r="D32" s="1337"/>
      <c r="E32" s="1337"/>
      <c r="F32" s="1338">
        <f>SUM('CONCENTRACION DE EGRESOS 2023'!K66)</f>
        <v>378931.19999999995</v>
      </c>
      <c r="G32" s="1339"/>
    </row>
    <row r="33" spans="1:14">
      <c r="A33" s="487">
        <v>55</v>
      </c>
      <c r="B33" s="1337" t="s">
        <v>333</v>
      </c>
      <c r="C33" s="1337"/>
      <c r="D33" s="1337"/>
      <c r="E33" s="1337"/>
      <c r="F33" s="1338">
        <f>SUM('CONCENTRACION DE EGRESOS 2023'!K73)</f>
        <v>3001.09</v>
      </c>
      <c r="G33" s="1339"/>
    </row>
    <row r="34" spans="1:14">
      <c r="A34" s="487">
        <v>56</v>
      </c>
      <c r="B34" s="1337" t="s">
        <v>334</v>
      </c>
      <c r="C34" s="1337"/>
      <c r="D34" s="1337"/>
      <c r="E34" s="1337"/>
      <c r="F34" s="1338">
        <f>SUM('CONCENTRACION DE EGRESOS 2023'!K77)</f>
        <v>78761.760000000009</v>
      </c>
      <c r="G34" s="1339"/>
    </row>
    <row r="35" spans="1:14">
      <c r="A35" s="487">
        <v>61</v>
      </c>
      <c r="B35" s="1337" t="s">
        <v>335</v>
      </c>
      <c r="C35" s="1337"/>
      <c r="D35" s="1337"/>
      <c r="E35" s="1337"/>
      <c r="F35" s="1338">
        <f>SUM('CONCENTRACION DE EGRESOS 2023'!K94)</f>
        <v>10320</v>
      </c>
      <c r="G35" s="1339"/>
    </row>
    <row r="36" spans="1:14" hidden="1">
      <c r="A36" s="487">
        <v>62</v>
      </c>
      <c r="B36" s="1344" t="s">
        <v>224</v>
      </c>
      <c r="C36" s="1345"/>
      <c r="D36" s="1345"/>
      <c r="E36" s="1346"/>
      <c r="F36" s="1338"/>
      <c r="G36" s="1339"/>
    </row>
    <row r="37" spans="1:14" ht="15.75" hidden="1" customHeight="1">
      <c r="A37" s="487">
        <v>71</v>
      </c>
      <c r="B37" s="1337" t="s">
        <v>336</v>
      </c>
      <c r="C37" s="1337"/>
      <c r="D37" s="1337"/>
      <c r="E37" s="1337"/>
      <c r="F37" s="1338">
        <f>SUM('CONCENTRACION DE EGRESOS 2023'!K96)</f>
        <v>0</v>
      </c>
      <c r="G37" s="1339"/>
    </row>
    <row r="38" spans="1:14" ht="15.75" hidden="1" customHeight="1">
      <c r="A38" s="487">
        <v>72</v>
      </c>
      <c r="B38" s="1337" t="s">
        <v>226</v>
      </c>
      <c r="C38" s="1337"/>
      <c r="D38" s="1337"/>
      <c r="E38" s="1337"/>
      <c r="F38" s="1338"/>
      <c r="G38" s="1339"/>
      <c r="J38" s="224"/>
    </row>
    <row r="39" spans="1:14" ht="18" customHeight="1">
      <c r="A39" s="1340" t="s">
        <v>337</v>
      </c>
      <c r="B39" s="1340"/>
      <c r="C39" s="1340"/>
      <c r="D39" s="1340"/>
      <c r="E39" s="1340"/>
      <c r="F39" s="1341">
        <f>SUM(F31:G35)</f>
        <v>1192066.6012500001</v>
      </c>
      <c r="G39" s="1341"/>
      <c r="H39" s="482">
        <f>F24-F39</f>
        <v>-1.2500002048909664E-3</v>
      </c>
    </row>
    <row r="40" spans="1:14" ht="12" customHeight="1">
      <c r="A40" s="485"/>
      <c r="B40" s="485"/>
      <c r="C40" s="485"/>
      <c r="D40" s="485"/>
      <c r="E40" s="485"/>
      <c r="F40" s="485"/>
      <c r="G40" s="485"/>
    </row>
    <row r="41" spans="1:14" ht="30" customHeight="1">
      <c r="A41" s="1325" t="s">
        <v>338</v>
      </c>
      <c r="B41" s="1325"/>
      <c r="C41" s="1325"/>
      <c r="D41" s="1325"/>
      <c r="E41" s="1325"/>
      <c r="F41" s="1325"/>
      <c r="G41" s="1325"/>
    </row>
    <row r="42" spans="1:14" ht="15.75">
      <c r="A42" s="1342" t="s">
        <v>339</v>
      </c>
      <c r="B42" s="1342"/>
      <c r="C42" s="1342"/>
      <c r="D42" s="1342"/>
      <c r="E42" s="1342"/>
      <c r="F42" s="1342"/>
      <c r="G42" s="1342"/>
    </row>
    <row r="43" spans="1:14" ht="24" customHeight="1">
      <c r="A43" s="1342" t="s">
        <v>340</v>
      </c>
      <c r="B43" s="1342"/>
      <c r="C43" s="1342"/>
      <c r="D43" s="1342"/>
      <c r="E43" s="1342"/>
      <c r="F43" s="1342"/>
      <c r="G43" s="1342"/>
    </row>
    <row r="44" spans="1:14" ht="68.25" customHeight="1">
      <c r="A44" s="1343" t="s">
        <v>772</v>
      </c>
      <c r="B44" s="1343"/>
      <c r="C44" s="1343"/>
      <c r="D44" s="1343"/>
      <c r="E44" s="1343"/>
      <c r="F44" s="1343"/>
      <c r="G44" s="1343"/>
    </row>
    <row r="45" spans="1:14" ht="94.5" customHeight="1">
      <c r="A45" s="1324" t="s">
        <v>948</v>
      </c>
      <c r="B45" s="1325"/>
      <c r="C45" s="1325"/>
      <c r="D45" s="1325"/>
      <c r="E45" s="1325"/>
      <c r="F45" s="1325"/>
      <c r="G45" s="1325"/>
    </row>
    <row r="46" spans="1:14" ht="24.75" customHeight="1">
      <c r="A46" s="1331" t="s">
        <v>580</v>
      </c>
      <c r="B46" s="1331"/>
      <c r="C46" s="1331"/>
      <c r="D46" s="1331"/>
      <c r="E46" s="1331"/>
      <c r="F46" s="1331"/>
      <c r="G46" s="1331"/>
      <c r="H46" s="1310"/>
      <c r="I46" s="1310"/>
      <c r="J46" s="1310"/>
      <c r="K46" s="1310"/>
      <c r="L46" s="1310"/>
      <c r="M46" s="1310"/>
      <c r="N46" s="1310"/>
    </row>
    <row r="47" spans="1:14" ht="67.5" customHeight="1">
      <c r="A47" s="1324" t="s">
        <v>390</v>
      </c>
      <c r="B47" s="1325"/>
      <c r="C47" s="1325"/>
      <c r="D47" s="1325"/>
      <c r="E47" s="1325"/>
      <c r="F47" s="1325"/>
      <c r="G47" s="1325"/>
    </row>
    <row r="48" spans="1:14" ht="27" customHeight="1">
      <c r="A48" s="1331" t="s">
        <v>581</v>
      </c>
      <c r="B48" s="1331"/>
      <c r="C48" s="1331"/>
      <c r="D48" s="1331"/>
      <c r="E48" s="1331"/>
      <c r="F48" s="1331"/>
      <c r="G48" s="1331"/>
      <c r="H48" s="1310"/>
      <c r="I48" s="1310"/>
      <c r="J48" s="1310"/>
      <c r="K48" s="1310"/>
      <c r="L48" s="1310"/>
      <c r="M48" s="1310"/>
      <c r="N48" s="1310"/>
    </row>
    <row r="49" spans="1:14" ht="53.25" customHeight="1">
      <c r="A49" s="1324" t="s">
        <v>341</v>
      </c>
      <c r="B49" s="1325"/>
      <c r="C49" s="1325"/>
      <c r="D49" s="1325"/>
      <c r="E49" s="1325"/>
      <c r="F49" s="1325"/>
      <c r="G49" s="1325"/>
    </row>
    <row r="50" spans="1:14" ht="27.75" customHeight="1">
      <c r="A50" s="1331" t="s">
        <v>582</v>
      </c>
      <c r="B50" s="1331"/>
      <c r="C50" s="1331"/>
      <c r="D50" s="1331"/>
      <c r="E50" s="1331"/>
      <c r="F50" s="1331"/>
      <c r="G50" s="1331"/>
      <c r="H50" s="1310"/>
      <c r="I50" s="1310"/>
      <c r="J50" s="1310"/>
      <c r="K50" s="1310"/>
      <c r="L50" s="1310"/>
      <c r="M50" s="1310"/>
      <c r="N50" s="1310"/>
    </row>
    <row r="51" spans="1:14" ht="49.5" customHeight="1">
      <c r="A51" s="1324" t="s">
        <v>342</v>
      </c>
      <c r="B51" s="1325"/>
      <c r="C51" s="1325"/>
      <c r="D51" s="1325"/>
      <c r="E51" s="1325"/>
      <c r="F51" s="1325"/>
      <c r="G51" s="1325"/>
    </row>
    <row r="52" spans="1:14" ht="24.75" customHeight="1">
      <c r="A52" s="1331" t="s">
        <v>583</v>
      </c>
      <c r="B52" s="1331"/>
      <c r="C52" s="1331"/>
      <c r="D52" s="1331"/>
      <c r="E52" s="1331"/>
      <c r="F52" s="1331"/>
      <c r="G52" s="1331"/>
      <c r="H52" s="995"/>
      <c r="I52" s="995"/>
      <c r="J52" s="995"/>
      <c r="K52" s="995"/>
      <c r="L52" s="995"/>
      <c r="M52" s="995"/>
      <c r="N52" s="995"/>
    </row>
    <row r="53" spans="1:14" ht="63.75" customHeight="1">
      <c r="A53" s="1324" t="s">
        <v>773</v>
      </c>
      <c r="B53" s="1325"/>
      <c r="C53" s="1325"/>
      <c r="D53" s="1325"/>
      <c r="E53" s="1325"/>
      <c r="F53" s="1325"/>
      <c r="G53" s="1325"/>
    </row>
    <row r="54" spans="1:14" ht="30" customHeight="1">
      <c r="A54" s="1325" t="s">
        <v>343</v>
      </c>
      <c r="B54" s="1325"/>
      <c r="C54" s="1325"/>
      <c r="D54" s="1325"/>
      <c r="E54" s="1325"/>
      <c r="F54" s="1325"/>
      <c r="G54" s="1325"/>
    </row>
    <row r="55" spans="1:14" ht="17.25" customHeight="1">
      <c r="A55" s="1325" t="s">
        <v>344</v>
      </c>
      <c r="B55" s="1325"/>
      <c r="C55" s="1325"/>
      <c r="D55" s="1325"/>
      <c r="E55" s="1325"/>
      <c r="F55" s="1325"/>
      <c r="G55" s="1325"/>
    </row>
    <row r="56" spans="1:14" ht="30.75" customHeight="1">
      <c r="A56" s="1325" t="s">
        <v>345</v>
      </c>
      <c r="B56" s="1325"/>
      <c r="C56" s="1325"/>
      <c r="D56" s="1325"/>
      <c r="E56" s="1325"/>
      <c r="F56" s="1325"/>
      <c r="G56" s="1325"/>
    </row>
    <row r="57" spans="1:14" ht="29.25" customHeight="1">
      <c r="A57" s="1324" t="s">
        <v>346</v>
      </c>
      <c r="B57" s="1325"/>
      <c r="C57" s="1325"/>
      <c r="D57" s="1325"/>
      <c r="E57" s="1325"/>
      <c r="F57" s="1325"/>
      <c r="G57" s="1325"/>
    </row>
    <row r="58" spans="1:14" ht="30" customHeight="1">
      <c r="A58" s="1331" t="s">
        <v>584</v>
      </c>
      <c r="B58" s="1331"/>
      <c r="C58" s="1331"/>
      <c r="D58" s="1331"/>
      <c r="E58" s="1331"/>
      <c r="F58" s="1331"/>
      <c r="G58" s="1331"/>
      <c r="H58" s="1310"/>
      <c r="I58" s="1310"/>
      <c r="J58" s="1310"/>
      <c r="K58" s="1310"/>
      <c r="L58" s="1310"/>
      <c r="M58" s="1310"/>
      <c r="N58" s="1310"/>
    </row>
    <row r="59" spans="1:14" ht="61.5" customHeight="1">
      <c r="A59" s="1324" t="s">
        <v>774</v>
      </c>
      <c r="B59" s="1325"/>
      <c r="C59" s="1325"/>
      <c r="D59" s="1325"/>
      <c r="E59" s="1325"/>
      <c r="F59" s="1325"/>
      <c r="G59" s="1325"/>
    </row>
    <row r="60" spans="1:14" ht="37.5" customHeight="1">
      <c r="A60" s="1313" t="s">
        <v>585</v>
      </c>
      <c r="B60" s="1313"/>
      <c r="C60" s="1313"/>
      <c r="D60" s="1313"/>
      <c r="E60" s="1313"/>
      <c r="F60" s="1313"/>
      <c r="G60" s="1313"/>
      <c r="H60" s="1310"/>
      <c r="I60" s="1310"/>
      <c r="J60" s="1310"/>
      <c r="K60" s="1310"/>
      <c r="L60" s="1310"/>
      <c r="M60" s="1310"/>
      <c r="N60" s="1310"/>
    </row>
    <row r="61" spans="1:14" ht="72.75" customHeight="1">
      <c r="A61" s="1324" t="s">
        <v>347</v>
      </c>
      <c r="B61" s="1325"/>
      <c r="C61" s="1325"/>
      <c r="D61" s="1325"/>
      <c r="E61" s="1325"/>
      <c r="F61" s="1325"/>
      <c r="G61" s="1325"/>
    </row>
    <row r="62" spans="1:14" ht="26.25" customHeight="1">
      <c r="A62" s="1336" t="s">
        <v>586</v>
      </c>
      <c r="B62" s="1336"/>
      <c r="C62" s="1336"/>
      <c r="D62" s="1336"/>
      <c r="E62" s="1336"/>
      <c r="F62" s="1336"/>
      <c r="G62" s="1336"/>
      <c r="H62" s="1310"/>
      <c r="I62" s="1310"/>
      <c r="J62" s="1310"/>
      <c r="K62" s="1310"/>
      <c r="L62" s="1310"/>
      <c r="M62" s="1310"/>
      <c r="N62" s="1310"/>
    </row>
    <row r="63" spans="1:14" ht="27.75" customHeight="1">
      <c r="A63" s="1324" t="s">
        <v>348</v>
      </c>
      <c r="B63" s="1325"/>
      <c r="C63" s="1325"/>
      <c r="D63" s="1325"/>
      <c r="E63" s="1325"/>
      <c r="F63" s="1325"/>
      <c r="G63" s="1325"/>
    </row>
    <row r="64" spans="1:14" ht="27" customHeight="1">
      <c r="A64" s="1331" t="s">
        <v>587</v>
      </c>
      <c r="B64" s="1331"/>
      <c r="C64" s="1331"/>
      <c r="D64" s="1331"/>
      <c r="E64" s="1331"/>
      <c r="F64" s="1331"/>
      <c r="G64" s="1331"/>
    </row>
    <row r="65" spans="1:14" ht="75.75" customHeight="1">
      <c r="A65" s="1324" t="s">
        <v>833</v>
      </c>
      <c r="B65" s="1325"/>
      <c r="C65" s="1325"/>
      <c r="D65" s="1325"/>
      <c r="E65" s="1325"/>
      <c r="F65" s="1325"/>
      <c r="G65" s="1325"/>
    </row>
    <row r="66" spans="1:14" ht="27" customHeight="1">
      <c r="A66" s="1331" t="s">
        <v>588</v>
      </c>
      <c r="B66" s="1331"/>
      <c r="C66" s="1331"/>
      <c r="D66" s="1331"/>
      <c r="E66" s="1331"/>
      <c r="F66" s="1331"/>
      <c r="G66" s="1331"/>
      <c r="H66" s="1310"/>
      <c r="I66" s="1310"/>
      <c r="J66" s="1310"/>
      <c r="K66" s="1310"/>
      <c r="L66" s="1310"/>
      <c r="M66" s="1310"/>
      <c r="N66" s="1310"/>
    </row>
    <row r="67" spans="1:14" ht="59.25" customHeight="1">
      <c r="A67" s="1324" t="s">
        <v>775</v>
      </c>
      <c r="B67" s="1325"/>
      <c r="C67" s="1325"/>
      <c r="D67" s="1325"/>
      <c r="E67" s="1325"/>
      <c r="F67" s="1325"/>
      <c r="G67" s="1325"/>
    </row>
    <row r="68" spans="1:14" ht="27" customHeight="1">
      <c r="A68" s="1331" t="s">
        <v>589</v>
      </c>
      <c r="B68" s="1331"/>
      <c r="C68" s="1331"/>
      <c r="D68" s="1331"/>
      <c r="E68" s="1331"/>
      <c r="F68" s="1331"/>
      <c r="G68" s="1331"/>
      <c r="H68" s="1310"/>
      <c r="I68" s="1310"/>
      <c r="J68" s="1310"/>
      <c r="K68" s="1310"/>
      <c r="L68" s="1310"/>
      <c r="M68" s="1310"/>
      <c r="N68" s="1310"/>
    </row>
    <row r="69" spans="1:14" ht="43.5" customHeight="1">
      <c r="A69" s="1324" t="s">
        <v>349</v>
      </c>
      <c r="B69" s="1325"/>
      <c r="C69" s="1325"/>
      <c r="D69" s="1325"/>
      <c r="E69" s="1325"/>
      <c r="F69" s="1325"/>
      <c r="G69" s="1325"/>
    </row>
    <row r="70" spans="1:14" ht="26.25" customHeight="1">
      <c r="A70" s="1331" t="s">
        <v>590</v>
      </c>
      <c r="B70" s="1331"/>
      <c r="C70" s="1331"/>
      <c r="D70" s="1331"/>
      <c r="E70" s="1331"/>
      <c r="F70" s="1331"/>
      <c r="G70" s="1331"/>
    </row>
    <row r="71" spans="1:14" ht="58.5" customHeight="1">
      <c r="A71" s="1324" t="s">
        <v>776</v>
      </c>
      <c r="B71" s="1325"/>
      <c r="C71" s="1325"/>
      <c r="D71" s="1325"/>
      <c r="E71" s="1325"/>
      <c r="F71" s="1325"/>
      <c r="G71" s="1325"/>
    </row>
    <row r="72" spans="1:14" ht="27" customHeight="1">
      <c r="A72" s="1331" t="s">
        <v>591</v>
      </c>
      <c r="B72" s="1331"/>
      <c r="C72" s="1331"/>
      <c r="D72" s="1331"/>
      <c r="E72" s="1331"/>
      <c r="F72" s="1331"/>
      <c r="G72" s="1331"/>
    </row>
    <row r="73" spans="1:14" ht="59.25" customHeight="1">
      <c r="A73" s="1324" t="s">
        <v>350</v>
      </c>
      <c r="B73" s="1325"/>
      <c r="C73" s="1325"/>
      <c r="D73" s="1325"/>
      <c r="E73" s="1325"/>
      <c r="F73" s="1325"/>
      <c r="G73" s="1325"/>
    </row>
    <row r="74" spans="1:14" ht="42.75" customHeight="1">
      <c r="A74" s="1325" t="s">
        <v>351</v>
      </c>
      <c r="B74" s="1325"/>
      <c r="C74" s="1325"/>
      <c r="D74" s="1325"/>
      <c r="E74" s="1325"/>
      <c r="F74" s="1325"/>
      <c r="G74" s="1325"/>
    </row>
    <row r="75" spans="1:14" ht="33.75" customHeight="1">
      <c r="A75" s="1312" t="s">
        <v>1050</v>
      </c>
      <c r="B75" s="1312"/>
      <c r="C75" s="1312"/>
      <c r="D75" s="1312"/>
      <c r="E75" s="1312"/>
      <c r="F75" s="1312"/>
      <c r="G75" s="1312"/>
    </row>
    <row r="76" spans="1:14" ht="44.25" customHeight="1">
      <c r="A76" s="1311" t="s">
        <v>777</v>
      </c>
      <c r="B76" s="1311"/>
      <c r="C76" s="1311"/>
      <c r="D76" s="1311"/>
      <c r="E76" s="1311"/>
      <c r="F76" s="1311"/>
      <c r="G76" s="1311"/>
    </row>
    <row r="77" spans="1:14" ht="59.25" customHeight="1">
      <c r="A77" s="1311" t="s">
        <v>778</v>
      </c>
      <c r="B77" s="1311"/>
      <c r="C77" s="1311"/>
      <c r="D77" s="1311"/>
      <c r="E77" s="1311"/>
      <c r="F77" s="1311"/>
      <c r="G77" s="1311"/>
    </row>
    <row r="78" spans="1:14" ht="30.75" customHeight="1">
      <c r="A78" s="1313" t="s">
        <v>561</v>
      </c>
      <c r="B78" s="1313"/>
      <c r="C78" s="1313"/>
      <c r="D78" s="1313"/>
      <c r="E78" s="1313"/>
      <c r="F78" s="1313"/>
      <c r="G78" s="1313"/>
    </row>
    <row r="79" spans="1:14" ht="45" customHeight="1">
      <c r="A79" s="1311" t="s">
        <v>779</v>
      </c>
      <c r="B79" s="1311"/>
      <c r="C79" s="1311"/>
      <c r="D79" s="1311"/>
      <c r="E79" s="1311"/>
      <c r="F79" s="1311"/>
      <c r="G79" s="1311"/>
    </row>
    <row r="80" spans="1:14" ht="27" customHeight="1">
      <c r="A80" s="1314" t="s">
        <v>562</v>
      </c>
      <c r="B80" s="1314"/>
      <c r="C80" s="1314"/>
      <c r="D80" s="1314"/>
      <c r="E80" s="1314"/>
      <c r="F80" s="1314"/>
      <c r="G80" s="1314"/>
    </row>
    <row r="81" spans="1:7" ht="114.75" customHeight="1">
      <c r="A81" s="1367" t="s">
        <v>628</v>
      </c>
      <c r="B81" s="1367"/>
      <c r="C81" s="1367"/>
      <c r="D81" s="1367"/>
      <c r="E81" s="1367"/>
      <c r="F81" s="1367"/>
      <c r="G81" s="1367"/>
    </row>
    <row r="82" spans="1:7" ht="27.75" customHeight="1">
      <c r="A82" s="1314" t="s">
        <v>563</v>
      </c>
      <c r="B82" s="1314"/>
      <c r="C82" s="1314"/>
      <c r="D82" s="1314"/>
      <c r="E82" s="1314"/>
      <c r="F82" s="1314"/>
      <c r="G82" s="1314"/>
    </row>
    <row r="83" spans="1:7" ht="27.75" customHeight="1">
      <c r="A83" s="1311" t="s">
        <v>780</v>
      </c>
      <c r="B83" s="1311"/>
      <c r="C83" s="1311"/>
      <c r="D83" s="1311"/>
      <c r="E83" s="1311"/>
      <c r="F83" s="1311"/>
      <c r="G83" s="1311"/>
    </row>
    <row r="84" spans="1:7" ht="27" customHeight="1">
      <c r="A84" s="1366" t="s">
        <v>564</v>
      </c>
      <c r="B84" s="1366"/>
      <c r="C84" s="1366"/>
      <c r="D84" s="1366"/>
      <c r="E84" s="1366"/>
      <c r="F84" s="1366"/>
      <c r="G84" s="1366"/>
    </row>
    <row r="85" spans="1:7" ht="45" customHeight="1">
      <c r="A85" s="1311" t="s">
        <v>781</v>
      </c>
      <c r="B85" s="1311"/>
      <c r="C85" s="1311"/>
      <c r="D85" s="1311"/>
      <c r="E85" s="1311"/>
      <c r="F85" s="1311"/>
      <c r="G85" s="1311"/>
    </row>
    <row r="86" spans="1:7" ht="68.25" customHeight="1">
      <c r="A86" s="1311" t="s">
        <v>782</v>
      </c>
      <c r="B86" s="1311"/>
      <c r="C86" s="1311"/>
      <c r="D86" s="1311"/>
      <c r="E86" s="1311"/>
      <c r="F86" s="1311"/>
      <c r="G86" s="1311"/>
    </row>
    <row r="87" spans="1:7" ht="30" customHeight="1">
      <c r="A87" s="1311" t="s">
        <v>783</v>
      </c>
      <c r="B87" s="1311"/>
      <c r="C87" s="1311"/>
      <c r="D87" s="1311"/>
      <c r="E87" s="1311"/>
      <c r="F87" s="1311"/>
      <c r="G87" s="1311"/>
    </row>
    <row r="88" spans="1:7" ht="26.25" customHeight="1">
      <c r="A88" s="1366" t="s">
        <v>1051</v>
      </c>
      <c r="B88" s="1366"/>
      <c r="C88" s="1366"/>
      <c r="D88" s="1366"/>
      <c r="E88" s="1366"/>
      <c r="F88" s="1366"/>
      <c r="G88" s="1366"/>
    </row>
    <row r="89" spans="1:7" ht="69.75" customHeight="1">
      <c r="A89" s="1311" t="s">
        <v>784</v>
      </c>
      <c r="B89" s="1311"/>
      <c r="C89" s="1311"/>
      <c r="D89" s="1311"/>
      <c r="E89" s="1311"/>
      <c r="F89" s="1311"/>
      <c r="G89" s="1311"/>
    </row>
    <row r="90" spans="1:7" ht="60" customHeight="1">
      <c r="A90" s="1311" t="s">
        <v>785</v>
      </c>
      <c r="B90" s="1311"/>
      <c r="C90" s="1311"/>
      <c r="D90" s="1311"/>
      <c r="E90" s="1311"/>
      <c r="F90" s="1311"/>
      <c r="G90" s="1311"/>
    </row>
    <row r="91" spans="1:7" ht="27" customHeight="1">
      <c r="A91" s="1366" t="s">
        <v>565</v>
      </c>
      <c r="B91" s="1366"/>
      <c r="C91" s="1366"/>
      <c r="D91" s="1366"/>
      <c r="E91" s="1366"/>
      <c r="F91" s="1366"/>
      <c r="G91" s="1366"/>
    </row>
    <row r="92" spans="1:7" ht="60" customHeight="1">
      <c r="A92" s="1311" t="s">
        <v>786</v>
      </c>
      <c r="B92" s="1311"/>
      <c r="C92" s="1311"/>
      <c r="D92" s="1311"/>
      <c r="E92" s="1311"/>
      <c r="F92" s="1311"/>
      <c r="G92" s="1311"/>
    </row>
    <row r="93" spans="1:7" ht="27" customHeight="1">
      <c r="A93" s="1322" t="s">
        <v>574</v>
      </c>
      <c r="B93" s="1322"/>
      <c r="C93" s="1322"/>
      <c r="D93" s="1322"/>
      <c r="E93" s="1322"/>
      <c r="F93" s="1322"/>
      <c r="G93" s="1322"/>
    </row>
    <row r="94" spans="1:7" ht="119.25" customHeight="1">
      <c r="A94" s="1324" t="s">
        <v>789</v>
      </c>
      <c r="B94" s="1325"/>
      <c r="C94" s="1325"/>
      <c r="D94" s="1325"/>
      <c r="E94" s="1325"/>
      <c r="F94" s="1325"/>
      <c r="G94" s="1325"/>
    </row>
    <row r="95" spans="1:7" ht="43.5" customHeight="1">
      <c r="A95" s="1324" t="s">
        <v>382</v>
      </c>
      <c r="B95" s="1325"/>
      <c r="C95" s="1325"/>
      <c r="D95" s="1325"/>
      <c r="E95" s="1325"/>
      <c r="F95" s="1325"/>
      <c r="G95" s="1325"/>
    </row>
    <row r="96" spans="1:7" ht="43.5" customHeight="1">
      <c r="A96" s="1324" t="s">
        <v>787</v>
      </c>
      <c r="B96" s="1324"/>
      <c r="C96" s="1324"/>
      <c r="D96" s="1324"/>
      <c r="E96" s="1324"/>
      <c r="F96" s="1324"/>
      <c r="G96" s="1324"/>
    </row>
    <row r="97" spans="1:14" ht="44.25" customHeight="1">
      <c r="A97" s="1325" t="s">
        <v>352</v>
      </c>
      <c r="B97" s="1325"/>
      <c r="C97" s="1325"/>
      <c r="D97" s="1325"/>
      <c r="E97" s="1325"/>
      <c r="F97" s="1325"/>
      <c r="G97" s="1325"/>
    </row>
    <row r="98" spans="1:14" ht="29.25" customHeight="1">
      <c r="A98" s="1325" t="s">
        <v>353</v>
      </c>
      <c r="B98" s="1325"/>
      <c r="C98" s="1325"/>
      <c r="D98" s="1325"/>
      <c r="E98" s="1325"/>
      <c r="F98" s="1325"/>
      <c r="G98" s="1325"/>
    </row>
    <row r="99" spans="1:14" ht="30.75" customHeight="1">
      <c r="A99" s="1325" t="s">
        <v>383</v>
      </c>
      <c r="B99" s="1325"/>
      <c r="C99" s="1325"/>
      <c r="D99" s="1325"/>
      <c r="E99" s="1325"/>
      <c r="F99" s="1325"/>
      <c r="G99" s="1325"/>
    </row>
    <row r="100" spans="1:14" ht="26.25" customHeight="1">
      <c r="A100" s="1322" t="s">
        <v>573</v>
      </c>
      <c r="B100" s="1322"/>
      <c r="C100" s="1322"/>
      <c r="D100" s="1322"/>
      <c r="E100" s="1322"/>
      <c r="F100" s="1322"/>
      <c r="G100" s="1322"/>
      <c r="H100" s="1310"/>
      <c r="I100" s="1310"/>
      <c r="J100" s="1310"/>
      <c r="K100" s="1310"/>
      <c r="L100" s="1310"/>
      <c r="M100" s="1310"/>
      <c r="N100" s="1310"/>
    </row>
    <row r="101" spans="1:14" ht="89.25" customHeight="1">
      <c r="A101" s="1324" t="s">
        <v>594</v>
      </c>
      <c r="B101" s="1325"/>
      <c r="C101" s="1325"/>
      <c r="D101" s="1325"/>
      <c r="E101" s="1325"/>
      <c r="F101" s="1325"/>
      <c r="G101" s="1325"/>
      <c r="L101" s="483"/>
    </row>
    <row r="102" spans="1:14" ht="27" customHeight="1">
      <c r="A102" s="1322" t="s">
        <v>572</v>
      </c>
      <c r="B102" s="1322"/>
      <c r="C102" s="1322"/>
      <c r="D102" s="1322"/>
      <c r="E102" s="1322"/>
      <c r="F102" s="1322"/>
      <c r="G102" s="1322"/>
      <c r="H102" s="1310"/>
      <c r="I102" s="1310"/>
      <c r="J102" s="1310"/>
      <c r="K102" s="1310"/>
      <c r="L102" s="1310"/>
      <c r="M102" s="1310"/>
      <c r="N102" s="1310"/>
    </row>
    <row r="103" spans="1:14" ht="102" customHeight="1">
      <c r="A103" s="1343" t="s">
        <v>575</v>
      </c>
      <c r="B103" s="1343"/>
      <c r="C103" s="1343"/>
      <c r="D103" s="1343"/>
      <c r="E103" s="1343"/>
      <c r="F103" s="1343"/>
      <c r="G103" s="1343"/>
    </row>
    <row r="104" spans="1:14" ht="26.25" customHeight="1">
      <c r="A104" s="1322" t="s">
        <v>571</v>
      </c>
      <c r="B104" s="1322"/>
      <c r="C104" s="1322"/>
      <c r="D104" s="1322"/>
      <c r="E104" s="1322"/>
      <c r="F104" s="1322"/>
      <c r="G104" s="1322"/>
    </row>
    <row r="105" spans="1:14" ht="57" customHeight="1">
      <c r="A105" s="1324" t="s">
        <v>576</v>
      </c>
      <c r="B105" s="1325"/>
      <c r="C105" s="1325"/>
      <c r="D105" s="1325"/>
      <c r="E105" s="1325"/>
      <c r="F105" s="1325"/>
      <c r="G105" s="1325"/>
    </row>
    <row r="106" spans="1:14" ht="27" customHeight="1">
      <c r="A106" s="1322" t="s">
        <v>1052</v>
      </c>
      <c r="B106" s="1322"/>
      <c r="C106" s="1322"/>
      <c r="D106" s="1322"/>
      <c r="E106" s="1322"/>
      <c r="F106" s="1322"/>
      <c r="G106" s="1322"/>
    </row>
    <row r="107" spans="1:14" ht="18" customHeight="1">
      <c r="A107" s="1322" t="s">
        <v>0</v>
      </c>
      <c r="B107" s="1322"/>
      <c r="C107" s="1322"/>
      <c r="D107" s="1322"/>
      <c r="E107" s="1322"/>
      <c r="F107" s="1322"/>
      <c r="G107" s="1322"/>
    </row>
    <row r="108" spans="1:14" ht="42.75" customHeight="1">
      <c r="A108" s="1324" t="s">
        <v>577</v>
      </c>
      <c r="B108" s="1324"/>
      <c r="C108" s="1324"/>
      <c r="D108" s="1324"/>
      <c r="E108" s="1324"/>
      <c r="F108" s="1324"/>
      <c r="G108" s="1324"/>
    </row>
    <row r="109" spans="1:14" ht="27" customHeight="1">
      <c r="A109" s="1331" t="s">
        <v>570</v>
      </c>
      <c r="B109" s="1331"/>
      <c r="C109" s="1331"/>
      <c r="D109" s="1331"/>
      <c r="E109" s="1331"/>
      <c r="F109" s="1331"/>
      <c r="G109" s="1331"/>
    </row>
    <row r="110" spans="1:14" ht="30.75" customHeight="1">
      <c r="A110" s="1324" t="s">
        <v>578</v>
      </c>
      <c r="B110" s="1325"/>
      <c r="C110" s="1325"/>
      <c r="D110" s="1325"/>
      <c r="E110" s="1325"/>
      <c r="F110" s="1325"/>
      <c r="G110" s="1325"/>
    </row>
    <row r="111" spans="1:14" ht="31.5" customHeight="1">
      <c r="A111" s="1333" t="s">
        <v>1072</v>
      </c>
      <c r="B111" s="1333"/>
      <c r="C111" s="1333"/>
      <c r="D111" s="1333"/>
      <c r="E111" s="1333"/>
      <c r="F111" s="1333"/>
      <c r="G111" s="1333"/>
    </row>
    <row r="112" spans="1:14" ht="57" customHeight="1">
      <c r="A112" s="1333" t="s">
        <v>1065</v>
      </c>
      <c r="B112" s="1333"/>
      <c r="C112" s="1333"/>
      <c r="D112" s="1333"/>
      <c r="E112" s="1333"/>
      <c r="F112" s="1333"/>
      <c r="G112" s="1333"/>
    </row>
    <row r="113" spans="1:15" ht="58.5" customHeight="1">
      <c r="A113" s="1333" t="s">
        <v>1066</v>
      </c>
      <c r="B113" s="1333"/>
      <c r="C113" s="1333"/>
      <c r="D113" s="1333"/>
      <c r="E113" s="1333"/>
      <c r="F113" s="1333"/>
      <c r="G113" s="1333"/>
    </row>
    <row r="114" spans="1:15" ht="74.25" customHeight="1">
      <c r="A114" s="1333" t="s">
        <v>1067</v>
      </c>
      <c r="B114" s="1333"/>
      <c r="C114" s="1333"/>
      <c r="D114" s="1333"/>
      <c r="E114" s="1333"/>
      <c r="F114" s="1333"/>
      <c r="G114" s="1333"/>
    </row>
    <row r="115" spans="1:15" ht="91.5" customHeight="1">
      <c r="A115" s="1331" t="s">
        <v>1068</v>
      </c>
      <c r="B115" s="1333"/>
      <c r="C115" s="1333"/>
      <c r="D115" s="1333"/>
      <c r="E115" s="1333"/>
      <c r="F115" s="1333"/>
      <c r="G115" s="1333"/>
    </row>
    <row r="116" spans="1:15" ht="33.75" customHeight="1">
      <c r="A116" s="1331" t="s">
        <v>1069</v>
      </c>
      <c r="B116" s="1333"/>
      <c r="C116" s="1333"/>
      <c r="D116" s="1333"/>
      <c r="E116" s="1333"/>
      <c r="F116" s="1333"/>
      <c r="G116" s="1333"/>
    </row>
    <row r="117" spans="1:15" ht="61.5" customHeight="1">
      <c r="A117" s="1331" t="s">
        <v>1070</v>
      </c>
      <c r="B117" s="1333"/>
      <c r="C117" s="1333"/>
      <c r="D117" s="1333"/>
      <c r="E117" s="1333"/>
      <c r="F117" s="1333"/>
      <c r="G117" s="1333"/>
    </row>
    <row r="118" spans="1:15" ht="44.25" customHeight="1">
      <c r="A118" s="1333" t="s">
        <v>1071</v>
      </c>
      <c r="B118" s="1333"/>
      <c r="C118" s="1333"/>
      <c r="D118" s="1333"/>
      <c r="E118" s="1333"/>
      <c r="F118" s="1333"/>
      <c r="G118" s="1333"/>
    </row>
    <row r="119" spans="1:15" ht="6.75" customHeight="1">
      <c r="A119" s="1216"/>
      <c r="B119" s="1216"/>
      <c r="C119" s="1216"/>
      <c r="D119" s="1216"/>
      <c r="E119" s="1216"/>
      <c r="F119" s="1216"/>
      <c r="G119" s="1216"/>
    </row>
    <row r="120" spans="1:15" ht="79.5" customHeight="1">
      <c r="A120" s="1334" t="s">
        <v>597</v>
      </c>
      <c r="B120" s="1335"/>
      <c r="C120" s="1335"/>
      <c r="D120" s="1335"/>
      <c r="E120" s="1335"/>
      <c r="F120" s="1335"/>
      <c r="G120" s="1335"/>
      <c r="O120" s="484"/>
    </row>
    <row r="121" spans="1:15" ht="27" customHeight="1">
      <c r="A121" s="1331" t="s">
        <v>569</v>
      </c>
      <c r="B121" s="1331"/>
      <c r="C121" s="1331"/>
      <c r="D121" s="1331"/>
      <c r="E121" s="1331"/>
      <c r="F121" s="1331"/>
      <c r="G121" s="1331"/>
    </row>
    <row r="122" spans="1:15" ht="84" customHeight="1">
      <c r="A122" s="1324" t="s">
        <v>1053</v>
      </c>
      <c r="B122" s="1325"/>
      <c r="C122" s="1325"/>
      <c r="D122" s="1325"/>
      <c r="E122" s="1325"/>
      <c r="F122" s="1325"/>
      <c r="G122" s="1325"/>
    </row>
    <row r="123" spans="1:15" ht="17.25" customHeight="1">
      <c r="A123" s="1333" t="s">
        <v>1062</v>
      </c>
      <c r="B123" s="1333"/>
      <c r="C123" s="1333"/>
      <c r="D123" s="1333"/>
      <c r="E123" s="1333"/>
      <c r="F123" s="1333"/>
      <c r="G123" s="1333"/>
    </row>
    <row r="124" spans="1:15" ht="14.25" customHeight="1">
      <c r="A124" s="1333" t="s">
        <v>1063</v>
      </c>
      <c r="B124" s="1333"/>
      <c r="C124" s="1333"/>
      <c r="D124" s="1333"/>
      <c r="E124" s="1333"/>
      <c r="F124" s="1333"/>
      <c r="G124" s="1333"/>
    </row>
    <row r="125" spans="1:15" ht="28.5" customHeight="1">
      <c r="A125" s="1333" t="s">
        <v>1064</v>
      </c>
      <c r="B125" s="1333"/>
      <c r="C125" s="1333"/>
      <c r="D125" s="1333"/>
      <c r="E125" s="1333"/>
      <c r="F125" s="1333"/>
      <c r="G125" s="1333"/>
    </row>
    <row r="126" spans="1:15" ht="27" customHeight="1">
      <c r="A126" s="1322" t="s">
        <v>568</v>
      </c>
      <c r="B126" s="1322"/>
      <c r="C126" s="1322"/>
      <c r="D126" s="1322"/>
      <c r="E126" s="1322"/>
      <c r="F126" s="1322"/>
      <c r="G126" s="1322"/>
      <c r="H126" s="1310"/>
      <c r="I126" s="1310"/>
      <c r="J126" s="1310"/>
      <c r="K126" s="1310"/>
      <c r="L126" s="1310"/>
      <c r="M126" s="1310"/>
      <c r="N126" s="1310"/>
    </row>
    <row r="127" spans="1:15" ht="54.75" customHeight="1">
      <c r="A127" s="1324" t="s">
        <v>788</v>
      </c>
      <c r="B127" s="1325"/>
      <c r="C127" s="1325"/>
      <c r="D127" s="1325"/>
      <c r="E127" s="1325"/>
      <c r="F127" s="1325"/>
      <c r="G127" s="1325"/>
    </row>
    <row r="128" spans="1:15" ht="14.25">
      <c r="A128" s="1324" t="s">
        <v>384</v>
      </c>
      <c r="B128" s="1325"/>
      <c r="C128" s="1325"/>
      <c r="D128" s="1325"/>
      <c r="E128" s="1325"/>
      <c r="F128" s="1325"/>
      <c r="G128" s="1325"/>
    </row>
    <row r="129" spans="1:14" ht="27.75" customHeight="1">
      <c r="A129" s="1322" t="s">
        <v>567</v>
      </c>
      <c r="B129" s="1322"/>
      <c r="C129" s="1322"/>
      <c r="D129" s="1322"/>
      <c r="E129" s="1322"/>
      <c r="F129" s="1322"/>
      <c r="G129" s="1322"/>
    </row>
    <row r="130" spans="1:14" ht="96.75" customHeight="1">
      <c r="A130" s="1323" t="s">
        <v>1043</v>
      </c>
      <c r="B130" s="1311"/>
      <c r="C130" s="1311"/>
      <c r="D130" s="1311"/>
      <c r="E130" s="1311"/>
      <c r="F130" s="1311"/>
      <c r="G130" s="1311"/>
    </row>
    <row r="131" spans="1:14" ht="18" customHeight="1">
      <c r="A131" s="1242"/>
      <c r="B131" s="1243"/>
      <c r="C131" s="1243"/>
      <c r="D131" s="1243"/>
      <c r="E131" s="1243"/>
      <c r="F131" s="1243"/>
      <c r="G131" s="1243"/>
    </row>
    <row r="132" spans="1:14" ht="29.25" customHeight="1">
      <c r="A132" s="1322" t="s">
        <v>566</v>
      </c>
      <c r="B132" s="1322"/>
      <c r="C132" s="1322"/>
      <c r="D132" s="1322"/>
      <c r="E132" s="1322"/>
      <c r="F132" s="1322"/>
      <c r="G132" s="1322"/>
    </row>
    <row r="133" spans="1:14" ht="76.5" customHeight="1">
      <c r="A133" s="1323" t="s">
        <v>579</v>
      </c>
      <c r="B133" s="1311"/>
      <c r="C133" s="1311"/>
      <c r="D133" s="1311"/>
      <c r="E133" s="1311"/>
      <c r="F133" s="1311"/>
      <c r="G133" s="1311"/>
    </row>
    <row r="134" spans="1:14" ht="14.25">
      <c r="A134" s="1242"/>
      <c r="B134" s="1243"/>
      <c r="C134" s="1243"/>
      <c r="D134" s="1243"/>
      <c r="E134" s="1243"/>
      <c r="F134" s="1243"/>
      <c r="G134" s="1243"/>
    </row>
    <row r="135" spans="1:14" s="673" customFormat="1" ht="31.5" customHeight="1">
      <c r="A135" s="1328" t="s">
        <v>1044</v>
      </c>
      <c r="B135" s="1329"/>
      <c r="C135" s="1329"/>
      <c r="D135" s="1329"/>
      <c r="E135" s="1329"/>
      <c r="F135" s="1329"/>
      <c r="G135" s="1329"/>
    </row>
    <row r="136" spans="1:14" s="673" customFormat="1" ht="14.25">
      <c r="A136" s="1241"/>
      <c r="B136" s="937"/>
      <c r="C136" s="937"/>
      <c r="D136" s="937"/>
      <c r="E136" s="937"/>
      <c r="F136" s="937"/>
      <c r="G136" s="937"/>
    </row>
    <row r="137" spans="1:14" ht="11.25" customHeight="1">
      <c r="A137" s="490"/>
      <c r="B137" s="489"/>
      <c r="C137" s="489"/>
      <c r="D137" s="485"/>
      <c r="E137" s="485"/>
      <c r="F137" s="485"/>
      <c r="G137" s="485"/>
    </row>
    <row r="138" spans="1:14" ht="29.25" customHeight="1">
      <c r="A138" s="1330" t="s">
        <v>1073</v>
      </c>
      <c r="B138" s="1331"/>
      <c r="C138" s="1331"/>
      <c r="D138" s="1331"/>
      <c r="E138" s="1331"/>
      <c r="F138" s="1331"/>
      <c r="G138" s="1331"/>
      <c r="H138" s="1308"/>
      <c r="I138" s="1309"/>
      <c r="J138" s="1309"/>
      <c r="K138" s="1309"/>
      <c r="L138" s="1309"/>
      <c r="M138" s="1309"/>
      <c r="N138" s="1309"/>
    </row>
    <row r="139" spans="1:14" ht="18">
      <c r="A139" s="1238"/>
      <c r="B139" s="1225"/>
      <c r="C139" s="1225"/>
      <c r="D139" s="1225"/>
      <c r="E139" s="1225"/>
      <c r="F139" s="1225"/>
      <c r="G139" s="1225"/>
      <c r="H139" s="1220"/>
      <c r="I139" s="1221"/>
      <c r="J139" s="1221"/>
      <c r="K139" s="1221"/>
      <c r="L139" s="1221"/>
      <c r="M139" s="1221"/>
      <c r="N139" s="1221"/>
    </row>
    <row r="140" spans="1:14" ht="18">
      <c r="A140" s="1238"/>
      <c r="B140" s="1225"/>
      <c r="C140" s="1225"/>
      <c r="D140" s="1225"/>
      <c r="E140" s="1225"/>
      <c r="F140" s="1225"/>
      <c r="G140" s="1225"/>
      <c r="H140" s="1220"/>
      <c r="I140" s="1221"/>
      <c r="J140" s="1221"/>
      <c r="K140" s="1221"/>
      <c r="L140" s="1221"/>
      <c r="M140" s="1221"/>
      <c r="N140" s="1221"/>
    </row>
    <row r="141" spans="1:14">
      <c r="A141" s="485"/>
      <c r="B141" s="485"/>
      <c r="C141" s="485"/>
      <c r="D141" s="485"/>
      <c r="E141" s="485"/>
      <c r="F141" s="485"/>
      <c r="G141" s="485"/>
    </row>
    <row r="142" spans="1:14">
      <c r="A142" s="485"/>
      <c r="B142" s="485"/>
      <c r="C142" s="485"/>
      <c r="D142" s="485"/>
      <c r="E142" s="485"/>
      <c r="F142" s="485"/>
      <c r="G142" s="485"/>
    </row>
    <row r="144" spans="1:14" ht="23.25" customHeight="1" thickBot="1">
      <c r="A144" s="491"/>
      <c r="B144" s="294"/>
      <c r="C144" s="294"/>
      <c r="D144" s="492"/>
      <c r="E144" s="294"/>
      <c r="F144" s="294"/>
      <c r="G144" s="294"/>
    </row>
    <row r="145" spans="1:16">
      <c r="A145" s="1315" t="s">
        <v>688</v>
      </c>
      <c r="B145" s="1315"/>
      <c r="C145" s="1315"/>
      <c r="D145" s="12"/>
      <c r="E145" s="1316" t="s">
        <v>689</v>
      </c>
      <c r="F145" s="1316"/>
      <c r="G145" s="1316"/>
    </row>
    <row r="146" spans="1:16" ht="15" customHeight="1">
      <c r="A146" s="1315" t="s">
        <v>1</v>
      </c>
      <c r="B146" s="1315"/>
      <c r="C146" s="1315"/>
      <c r="D146" s="12"/>
      <c r="E146" s="1315" t="s">
        <v>813</v>
      </c>
      <c r="F146" s="1315"/>
      <c r="G146" s="1315"/>
    </row>
    <row r="147" spans="1:16">
      <c r="A147" s="12"/>
      <c r="B147" s="12"/>
      <c r="C147" s="12"/>
      <c r="D147" s="12"/>
      <c r="E147" s="12"/>
    </row>
    <row r="148" spans="1:16">
      <c r="A148" s="12"/>
      <c r="B148" s="12"/>
      <c r="C148" s="12"/>
      <c r="D148" s="12"/>
      <c r="E148" s="12"/>
    </row>
    <row r="149" spans="1:16">
      <c r="A149" s="12"/>
      <c r="B149" s="12"/>
      <c r="C149" s="12"/>
      <c r="D149" s="12"/>
      <c r="E149" s="12"/>
    </row>
    <row r="150" spans="1:16">
      <c r="A150" s="12"/>
      <c r="B150" s="12"/>
      <c r="C150" s="12"/>
      <c r="D150" s="12"/>
      <c r="E150" s="12"/>
    </row>
    <row r="151" spans="1:16">
      <c r="A151" s="12"/>
      <c r="B151" s="12"/>
      <c r="C151" s="12"/>
      <c r="D151" s="12"/>
      <c r="E151" s="12"/>
    </row>
    <row r="152" spans="1:16">
      <c r="A152" s="12"/>
      <c r="B152" s="12"/>
      <c r="C152" s="12"/>
      <c r="D152" s="12"/>
      <c r="E152" s="12"/>
    </row>
    <row r="153" spans="1:16">
      <c r="A153" s="12"/>
      <c r="B153" s="12"/>
      <c r="C153" s="12"/>
      <c r="D153" s="12"/>
      <c r="E153" s="12"/>
    </row>
    <row r="154" spans="1:16" ht="13.5" thickBot="1">
      <c r="A154" s="493"/>
      <c r="B154" s="294"/>
      <c r="C154" s="294"/>
      <c r="D154" s="12"/>
      <c r="E154" s="493"/>
      <c r="F154" s="294"/>
      <c r="G154" s="294"/>
    </row>
    <row r="155" spans="1:16" ht="30.75" customHeight="1">
      <c r="A155" s="1318" t="s">
        <v>690</v>
      </c>
      <c r="B155" s="1319"/>
      <c r="C155" s="1319"/>
      <c r="D155" s="12"/>
      <c r="E155" s="1315" t="s">
        <v>691</v>
      </c>
      <c r="F155" s="1315"/>
      <c r="G155" s="1315"/>
      <c r="I155" s="1306"/>
      <c r="J155" s="1307"/>
      <c r="K155" s="1307"/>
      <c r="N155" s="1306"/>
      <c r="O155" s="1306"/>
      <c r="P155" s="1306"/>
    </row>
    <row r="156" spans="1:16" ht="15.75" customHeight="1">
      <c r="A156" s="1320" t="s">
        <v>436</v>
      </c>
      <c r="B156" s="1321"/>
      <c r="C156" s="1321"/>
      <c r="D156" s="12"/>
      <c r="E156" s="1316" t="s">
        <v>814</v>
      </c>
      <c r="F156" s="1316"/>
      <c r="G156" s="1316"/>
    </row>
    <row r="157" spans="1:16">
      <c r="A157" s="838"/>
      <c r="B157" s="839"/>
      <c r="C157" s="839"/>
      <c r="D157" s="12"/>
      <c r="E157" s="837"/>
      <c r="F157" s="837"/>
      <c r="G157" s="837"/>
    </row>
    <row r="158" spans="1:16">
      <c r="A158" s="1218"/>
      <c r="B158" s="1219"/>
      <c r="C158" s="1219"/>
      <c r="D158" s="12"/>
      <c r="E158" s="1217"/>
      <c r="F158" s="1217"/>
      <c r="G158" s="1217"/>
    </row>
    <row r="159" spans="1:16">
      <c r="A159" s="1223"/>
      <c r="B159" s="1224"/>
      <c r="C159" s="1224"/>
      <c r="D159" s="12"/>
      <c r="E159" s="1222"/>
      <c r="F159" s="1222"/>
      <c r="G159" s="1222"/>
    </row>
    <row r="160" spans="1:16">
      <c r="A160" s="12"/>
      <c r="B160" s="12"/>
      <c r="C160" s="12"/>
      <c r="D160" s="12"/>
      <c r="E160" s="12"/>
    </row>
    <row r="161" spans="1:7">
      <c r="A161" s="12"/>
      <c r="B161" s="12"/>
      <c r="C161" s="12"/>
      <c r="D161" s="12"/>
      <c r="E161" s="12"/>
    </row>
    <row r="162" spans="1:7" ht="13.5" customHeight="1">
      <c r="A162" s="12"/>
      <c r="B162" s="12"/>
      <c r="C162" s="12"/>
      <c r="D162" s="12"/>
      <c r="E162" s="12"/>
    </row>
    <row r="163" spans="1:7">
      <c r="A163" s="12"/>
      <c r="B163" s="12"/>
      <c r="C163" s="12"/>
      <c r="D163" s="12"/>
      <c r="E163" s="12"/>
    </row>
    <row r="164" spans="1:7" ht="13.5" thickBot="1">
      <c r="A164" s="494"/>
      <c r="B164" s="493"/>
      <c r="C164" s="493"/>
      <c r="D164" s="12"/>
      <c r="E164" s="493"/>
      <c r="F164" s="294"/>
      <c r="G164" s="294"/>
    </row>
    <row r="165" spans="1:7" ht="30" customHeight="1">
      <c r="A165" s="1318" t="s">
        <v>692</v>
      </c>
      <c r="B165" s="1319"/>
      <c r="C165" s="1319"/>
      <c r="D165" s="12"/>
      <c r="E165" s="1320" t="s">
        <v>812</v>
      </c>
      <c r="F165" s="1321"/>
      <c r="G165" s="1321"/>
    </row>
    <row r="166" spans="1:7" ht="15" customHeight="1">
      <c r="A166" s="1315" t="s">
        <v>2</v>
      </c>
      <c r="B166" s="1316"/>
      <c r="C166" s="1316"/>
      <c r="D166" s="12"/>
      <c r="E166" s="1315" t="s">
        <v>821</v>
      </c>
      <c r="F166" s="1315"/>
      <c r="G166" s="1315"/>
    </row>
    <row r="167" spans="1:7">
      <c r="A167" s="12"/>
      <c r="B167" s="12"/>
      <c r="C167" s="12"/>
      <c r="D167" s="12"/>
      <c r="E167" s="12"/>
    </row>
    <row r="168" spans="1:7">
      <c r="A168" s="12"/>
      <c r="B168" s="12"/>
      <c r="C168" s="12"/>
      <c r="D168" s="12"/>
      <c r="E168" s="12"/>
    </row>
    <row r="169" spans="1:7">
      <c r="A169" s="12"/>
      <c r="B169" s="12"/>
      <c r="C169" s="12"/>
      <c r="D169" s="12"/>
      <c r="E169" s="12"/>
    </row>
    <row r="170" spans="1:7">
      <c r="A170" s="12"/>
      <c r="B170" s="12"/>
      <c r="C170" s="12"/>
      <c r="D170" s="12"/>
      <c r="E170" s="12"/>
    </row>
    <row r="171" spans="1:7">
      <c r="A171" s="12"/>
      <c r="B171" s="12"/>
      <c r="C171" s="12"/>
      <c r="D171" s="12"/>
      <c r="E171" s="12"/>
    </row>
    <row r="172" spans="1:7">
      <c r="A172" s="12"/>
      <c r="B172" s="12"/>
      <c r="C172" s="12"/>
      <c r="D172" s="12"/>
      <c r="E172" s="12"/>
    </row>
    <row r="173" spans="1:7" ht="13.5" thickBot="1">
      <c r="A173" s="495"/>
      <c r="B173" s="495"/>
      <c r="C173" s="495"/>
      <c r="D173" s="496"/>
      <c r="E173" s="495"/>
      <c r="F173" s="495"/>
      <c r="G173" s="495"/>
    </row>
    <row r="174" spans="1:7" ht="15.75" customHeight="1">
      <c r="A174" s="1315" t="s">
        <v>811</v>
      </c>
      <c r="B174" s="1316"/>
      <c r="C174" s="1316"/>
      <c r="D174" s="12"/>
      <c r="E174" s="1317" t="s">
        <v>693</v>
      </c>
      <c r="F174" s="1317"/>
      <c r="G174" s="1317"/>
    </row>
    <row r="175" spans="1:7" ht="15.75" customHeight="1">
      <c r="A175" s="1315" t="s">
        <v>3</v>
      </c>
      <c r="B175" s="1315"/>
      <c r="C175" s="1315"/>
      <c r="D175" s="12"/>
      <c r="E175" s="1315" t="s">
        <v>4</v>
      </c>
      <c r="F175" s="1315"/>
      <c r="G175" s="1315"/>
    </row>
    <row r="176" spans="1:7">
      <c r="A176" s="12"/>
      <c r="B176" s="12"/>
      <c r="C176" s="12"/>
      <c r="D176" s="12"/>
      <c r="E176" s="12"/>
    </row>
    <row r="177" spans="1:7">
      <c r="A177" s="12"/>
      <c r="B177" s="12"/>
      <c r="C177" s="12"/>
      <c r="D177" s="12"/>
      <c r="E177" s="12"/>
    </row>
    <row r="178" spans="1:7">
      <c r="A178" s="12"/>
      <c r="B178" s="12"/>
      <c r="C178" s="12"/>
      <c r="D178" s="12"/>
      <c r="E178" s="12"/>
    </row>
    <row r="179" spans="1:7">
      <c r="A179" s="12"/>
      <c r="B179" s="12"/>
      <c r="C179" s="12"/>
      <c r="D179" s="12"/>
      <c r="E179" s="12"/>
    </row>
    <row r="180" spans="1:7">
      <c r="A180" s="12"/>
      <c r="B180" s="12"/>
      <c r="C180" s="12"/>
      <c r="D180" s="12"/>
      <c r="E180" s="12"/>
    </row>
    <row r="181" spans="1:7">
      <c r="A181" s="12"/>
      <c r="B181" s="12"/>
      <c r="C181" s="12"/>
      <c r="D181" s="12"/>
      <c r="E181" s="12"/>
    </row>
    <row r="182" spans="1:7">
      <c r="A182" s="12"/>
      <c r="B182" s="12"/>
      <c r="C182" s="12"/>
      <c r="D182" s="12"/>
      <c r="E182" s="12"/>
    </row>
    <row r="183" spans="1:7" ht="13.5" thickBot="1">
      <c r="A183" s="497"/>
      <c r="B183" s="493"/>
      <c r="C183" s="493"/>
      <c r="D183" s="12"/>
      <c r="E183" s="493"/>
      <c r="F183" s="294"/>
      <c r="G183" s="294"/>
    </row>
    <row r="184" spans="1:7" ht="28.5" customHeight="1">
      <c r="A184" s="1326" t="s">
        <v>694</v>
      </c>
      <c r="B184" s="1326"/>
      <c r="C184" s="1326"/>
      <c r="D184" s="12"/>
      <c r="E184" s="1327" t="s">
        <v>822</v>
      </c>
      <c r="F184" s="1327"/>
      <c r="G184" s="1327"/>
    </row>
    <row r="185" spans="1:7">
      <c r="A185" s="1315" t="s">
        <v>5</v>
      </c>
      <c r="B185" s="1316"/>
      <c r="C185" s="1316"/>
      <c r="D185" s="12"/>
      <c r="E185" s="1316" t="s">
        <v>824</v>
      </c>
      <c r="F185" s="1316"/>
      <c r="G185" s="1316"/>
    </row>
    <row r="186" spans="1:7">
      <c r="A186" s="12"/>
      <c r="B186" s="12"/>
      <c r="C186" s="12"/>
      <c r="D186" s="12"/>
      <c r="E186" s="12"/>
    </row>
    <row r="187" spans="1:7">
      <c r="A187" s="12"/>
      <c r="B187" s="12"/>
      <c r="C187" s="12"/>
      <c r="D187" s="12"/>
      <c r="E187" s="12"/>
    </row>
    <row r="188" spans="1:7">
      <c r="A188" s="12"/>
      <c r="B188" s="12"/>
      <c r="C188" s="12"/>
      <c r="D188" s="12"/>
      <c r="E188" s="12"/>
    </row>
    <row r="189" spans="1:7">
      <c r="A189" s="12"/>
      <c r="B189" s="12"/>
      <c r="C189" s="12"/>
      <c r="D189" s="12"/>
      <c r="E189" s="12"/>
    </row>
    <row r="190" spans="1:7">
      <c r="A190" s="12"/>
      <c r="B190" s="12"/>
      <c r="C190" s="12"/>
      <c r="D190" s="12"/>
      <c r="E190" s="12"/>
    </row>
    <row r="191" spans="1:7">
      <c r="A191" s="12"/>
      <c r="B191" s="12"/>
      <c r="C191" s="12"/>
      <c r="D191" s="12"/>
      <c r="E191" s="12"/>
    </row>
    <row r="192" spans="1:7">
      <c r="A192" s="12"/>
      <c r="B192" s="12"/>
      <c r="C192" s="12"/>
      <c r="D192" s="12"/>
      <c r="E192" s="12"/>
    </row>
    <row r="193" spans="1:7" ht="14.25" customHeight="1" thickBot="1">
      <c r="A193" s="497"/>
      <c r="B193" s="493"/>
      <c r="C193" s="493"/>
      <c r="D193" s="12"/>
      <c r="E193" s="493"/>
      <c r="F193" s="294"/>
      <c r="G193" s="294"/>
    </row>
    <row r="194" spans="1:7" ht="14.25" customHeight="1">
      <c r="A194" s="1315" t="s">
        <v>695</v>
      </c>
      <c r="B194" s="1315"/>
      <c r="C194" s="1315"/>
      <c r="D194" s="12"/>
      <c r="E194" s="1317" t="s">
        <v>696</v>
      </c>
      <c r="F194" s="1317"/>
      <c r="G194" s="1317"/>
    </row>
    <row r="195" spans="1:7">
      <c r="A195" s="1315" t="s">
        <v>6</v>
      </c>
      <c r="B195" s="1315"/>
      <c r="C195" s="1315"/>
      <c r="D195" s="12"/>
      <c r="E195" s="1332" t="s">
        <v>7</v>
      </c>
      <c r="F195" s="1332"/>
      <c r="G195" s="1332"/>
    </row>
    <row r="196" spans="1:7">
      <c r="A196" s="12"/>
      <c r="B196" s="12"/>
      <c r="C196" s="12"/>
      <c r="D196" s="12"/>
      <c r="E196" s="12"/>
    </row>
    <row r="197" spans="1:7" ht="26.25" customHeight="1">
      <c r="A197" s="12"/>
      <c r="B197" s="12"/>
      <c r="C197" s="12"/>
      <c r="D197" s="12"/>
      <c r="E197" s="12"/>
    </row>
    <row r="198" spans="1:7">
      <c r="A198" s="12"/>
      <c r="B198" s="12"/>
      <c r="C198" s="12"/>
      <c r="D198" s="12"/>
      <c r="E198" s="12"/>
    </row>
    <row r="199" spans="1:7">
      <c r="A199" s="12"/>
    </row>
  </sheetData>
  <mergeCells count="184">
    <mergeCell ref="A91:G91"/>
    <mergeCell ref="A92:G92"/>
    <mergeCell ref="H126:N126"/>
    <mergeCell ref="H102:N102"/>
    <mergeCell ref="H100:N100"/>
    <mergeCell ref="A81:G81"/>
    <mergeCell ref="A82:G82"/>
    <mergeCell ref="A83:G83"/>
    <mergeCell ref="A84:G84"/>
    <mergeCell ref="A85:G85"/>
    <mergeCell ref="A86:G86"/>
    <mergeCell ref="A87:G87"/>
    <mergeCell ref="A88:G88"/>
    <mergeCell ref="A89:G89"/>
    <mergeCell ref="A96:G96"/>
    <mergeCell ref="A97:G97"/>
    <mergeCell ref="A98:G98"/>
    <mergeCell ref="A99:G99"/>
    <mergeCell ref="A100:G100"/>
    <mergeCell ref="A101:G101"/>
    <mergeCell ref="A102:G102"/>
    <mergeCell ref="A103:G103"/>
    <mergeCell ref="A104:G104"/>
    <mergeCell ref="A105:G105"/>
    <mergeCell ref="A1:C1"/>
    <mergeCell ref="A2:G2"/>
    <mergeCell ref="A3:G3"/>
    <mergeCell ref="A6:G6"/>
    <mergeCell ref="A7:G7"/>
    <mergeCell ref="A8:G8"/>
    <mergeCell ref="A9:G9"/>
    <mergeCell ref="A11:G11"/>
    <mergeCell ref="A12:G12"/>
    <mergeCell ref="A13:G13"/>
    <mergeCell ref="B15:E15"/>
    <mergeCell ref="F15:G15"/>
    <mergeCell ref="B16:E16"/>
    <mergeCell ref="F16:G16"/>
    <mergeCell ref="B17:E17"/>
    <mergeCell ref="F17:G17"/>
    <mergeCell ref="B18:E18"/>
    <mergeCell ref="F18:G18"/>
    <mergeCell ref="B19:E19"/>
    <mergeCell ref="F19:G19"/>
    <mergeCell ref="B20:E20"/>
    <mergeCell ref="F20:G20"/>
    <mergeCell ref="B21:E21"/>
    <mergeCell ref="F21:G21"/>
    <mergeCell ref="B22:E22"/>
    <mergeCell ref="F22:G22"/>
    <mergeCell ref="B23:E23"/>
    <mergeCell ref="F23:G23"/>
    <mergeCell ref="A24:E24"/>
    <mergeCell ref="F24:G24"/>
    <mergeCell ref="A26:G26"/>
    <mergeCell ref="A27:G27"/>
    <mergeCell ref="A28:G28"/>
    <mergeCell ref="B30:E30"/>
    <mergeCell ref="F30:G30"/>
    <mergeCell ref="B31:E31"/>
    <mergeCell ref="F31:G31"/>
    <mergeCell ref="B32:E32"/>
    <mergeCell ref="F32:G32"/>
    <mergeCell ref="B33:E33"/>
    <mergeCell ref="F33:G33"/>
    <mergeCell ref="B34:E34"/>
    <mergeCell ref="F34:G34"/>
    <mergeCell ref="B35:E35"/>
    <mergeCell ref="F35:G35"/>
    <mergeCell ref="B37:E37"/>
    <mergeCell ref="F37:G37"/>
    <mergeCell ref="B36:E36"/>
    <mergeCell ref="F36:G36"/>
    <mergeCell ref="B38:E38"/>
    <mergeCell ref="F38:G38"/>
    <mergeCell ref="A39:E39"/>
    <mergeCell ref="F39:G39"/>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106:G10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71:G71"/>
    <mergeCell ref="A72:G72"/>
    <mergeCell ref="A73:G73"/>
    <mergeCell ref="A74:G74"/>
    <mergeCell ref="A93:G93"/>
    <mergeCell ref="A94:G94"/>
    <mergeCell ref="A95:G95"/>
    <mergeCell ref="A107:G107"/>
    <mergeCell ref="A108:G108"/>
    <mergeCell ref="A109:G109"/>
    <mergeCell ref="A110:G110"/>
    <mergeCell ref="A111:G111"/>
    <mergeCell ref="A113:G113"/>
    <mergeCell ref="A114:G114"/>
    <mergeCell ref="A112:G112"/>
    <mergeCell ref="A115:G115"/>
    <mergeCell ref="A121:G121"/>
    <mergeCell ref="A122:G122"/>
    <mergeCell ref="A123:G123"/>
    <mergeCell ref="A124:G124"/>
    <mergeCell ref="A125:G125"/>
    <mergeCell ref="A116:G116"/>
    <mergeCell ref="A117:G117"/>
    <mergeCell ref="A118:G118"/>
    <mergeCell ref="A120:G120"/>
    <mergeCell ref="A127:G127"/>
    <mergeCell ref="A128:G128"/>
    <mergeCell ref="A184:C184"/>
    <mergeCell ref="E184:G184"/>
    <mergeCell ref="A185:C185"/>
    <mergeCell ref="A194:C194"/>
    <mergeCell ref="A195:C195"/>
    <mergeCell ref="E194:G194"/>
    <mergeCell ref="A132:G132"/>
    <mergeCell ref="A133:G133"/>
    <mergeCell ref="A135:G135"/>
    <mergeCell ref="A138:G138"/>
    <mergeCell ref="A145:C145"/>
    <mergeCell ref="E145:G145"/>
    <mergeCell ref="E185:G185"/>
    <mergeCell ref="E195:G195"/>
    <mergeCell ref="A90:G90"/>
    <mergeCell ref="A75:G75"/>
    <mergeCell ref="A76:G76"/>
    <mergeCell ref="A77:G77"/>
    <mergeCell ref="A78:G78"/>
    <mergeCell ref="A79:G79"/>
    <mergeCell ref="A80:G80"/>
    <mergeCell ref="A174:C174"/>
    <mergeCell ref="A175:C175"/>
    <mergeCell ref="E175:G175"/>
    <mergeCell ref="E174:G174"/>
    <mergeCell ref="A146:C146"/>
    <mergeCell ref="E146:G146"/>
    <mergeCell ref="A155:C155"/>
    <mergeCell ref="E155:G155"/>
    <mergeCell ref="A156:C156"/>
    <mergeCell ref="E156:G156"/>
    <mergeCell ref="A165:C165"/>
    <mergeCell ref="E165:G165"/>
    <mergeCell ref="A166:C166"/>
    <mergeCell ref="E166:G166"/>
    <mergeCell ref="A129:G129"/>
    <mergeCell ref="A130:G130"/>
    <mergeCell ref="A126:G126"/>
    <mergeCell ref="I155:K155"/>
    <mergeCell ref="N155:P155"/>
    <mergeCell ref="H138:N138"/>
    <mergeCell ref="H46:N46"/>
    <mergeCell ref="H48:N48"/>
    <mergeCell ref="H50:N50"/>
    <mergeCell ref="H58:N58"/>
    <mergeCell ref="H60:N60"/>
    <mergeCell ref="H62:N62"/>
    <mergeCell ref="H66:N66"/>
    <mergeCell ref="H68:N68"/>
  </mergeCells>
  <phoneticPr fontId="10" type="noConversion"/>
  <pageMargins left="1.0236220472440944" right="0.15748031496062992" top="0.59055118110236227" bottom="0.94488188976377963" header="0.15748031496062992" footer="0"/>
  <pageSetup orientation="portrait" verticalDpi="300" r:id="rId1"/>
  <headerFooter alignWithMargins="0">
    <oddFooter>&amp;R&amp;P</oddFooter>
  </headerFooter>
  <rowBreaks count="7" manualBreakCount="7">
    <brk id="44" max="16383" man="1"/>
    <brk id="59" max="16383" man="1"/>
    <brk id="74" max="15" man="1"/>
    <brk id="89" max="15" man="1"/>
    <brk id="101" max="15" man="1"/>
    <brk id="115" max="15" man="1"/>
    <brk id="131" max="15" man="1"/>
  </rowBreaks>
  <colBreaks count="1" manualBreakCount="1">
    <brk id="7" max="1048575" man="1"/>
  </col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FFFF"/>
  </sheetPr>
  <dimension ref="A1:I38"/>
  <sheetViews>
    <sheetView topLeftCell="A4" zoomScale="81" zoomScaleNormal="81" zoomScaleSheetLayoutView="89" workbookViewId="0">
      <selection activeCell="C7" sqref="C7"/>
    </sheetView>
  </sheetViews>
  <sheetFormatPr baseColWidth="10" defaultRowHeight="12.75"/>
  <cols>
    <col min="1" max="1" width="6.5703125" customWidth="1"/>
    <col min="2" max="2" width="34.85546875" customWidth="1"/>
    <col min="3" max="3" width="21.7109375" customWidth="1"/>
    <col min="4" max="4" width="16.85546875" hidden="1" customWidth="1"/>
    <col min="5" max="5" width="15.7109375" hidden="1" customWidth="1"/>
    <col min="6" max="6" width="1.7109375" hidden="1" customWidth="1"/>
    <col min="7" max="7" width="29.5703125" customWidth="1"/>
    <col min="9" max="9" width="14.140625" bestFit="1" customWidth="1"/>
  </cols>
  <sheetData>
    <row r="1" spans="1:9" ht="33.75" customHeight="1">
      <c r="A1" s="1736" t="s">
        <v>844</v>
      </c>
      <c r="B1" s="1736"/>
      <c r="C1" s="1736"/>
      <c r="D1" s="1736"/>
      <c r="E1" s="1736"/>
      <c r="F1" s="1736"/>
      <c r="G1" s="1736"/>
    </row>
    <row r="2" spans="1:9" ht="30" customHeight="1">
      <c r="A2" s="1737" t="s">
        <v>843</v>
      </c>
      <c r="B2" s="1738"/>
      <c r="C2" s="1738"/>
      <c r="D2" s="1738"/>
      <c r="E2" s="1738"/>
      <c r="F2" s="1738"/>
      <c r="G2" s="1738"/>
    </row>
    <row r="3" spans="1:9" ht="15">
      <c r="A3" s="3"/>
      <c r="B3" s="3"/>
      <c r="C3" s="3"/>
      <c r="D3" s="3"/>
      <c r="E3" s="3"/>
      <c r="F3" s="3"/>
      <c r="G3" s="3"/>
    </row>
    <row r="4" spans="1:9" ht="16.5">
      <c r="A4" s="1733" t="s">
        <v>298</v>
      </c>
      <c r="B4" s="1729" t="s">
        <v>301</v>
      </c>
      <c r="C4" s="1739" t="s">
        <v>800</v>
      </c>
      <c r="D4" s="1740"/>
      <c r="E4" s="1740"/>
      <c r="F4" s="1740"/>
      <c r="G4" s="1740"/>
    </row>
    <row r="5" spans="1:9" ht="15" customHeight="1">
      <c r="A5" s="1733"/>
      <c r="B5" s="1729"/>
      <c r="C5" s="1729" t="s">
        <v>847</v>
      </c>
      <c r="D5" s="1729" t="s">
        <v>306</v>
      </c>
      <c r="E5" s="1729" t="s">
        <v>846</v>
      </c>
      <c r="F5" s="1729" t="s">
        <v>845</v>
      </c>
      <c r="G5" s="1729" t="s">
        <v>300</v>
      </c>
    </row>
    <row r="6" spans="1:9" ht="55.5" customHeight="1">
      <c r="A6" s="1733"/>
      <c r="B6" s="1729"/>
      <c r="C6" s="1525"/>
      <c r="D6" s="1525"/>
      <c r="E6" s="1729"/>
      <c r="F6" s="1729"/>
      <c r="G6" s="1525"/>
    </row>
    <row r="7" spans="1:9" s="44" customFormat="1" ht="24.75" customHeight="1" thickBot="1">
      <c r="A7" s="530" t="s">
        <v>31</v>
      </c>
      <c r="B7" s="531" t="s">
        <v>80</v>
      </c>
      <c r="C7" s="532">
        <f>SUM('Proy. de recur.Humanos'!C79)</f>
        <v>221097.5</v>
      </c>
      <c r="D7" s="532">
        <f>SUM('Proy. de recur.Humanos'!C80)</f>
        <v>0</v>
      </c>
      <c r="E7" s="532">
        <f>SUM('Proy. de recur.Humanos'!C81)</f>
        <v>0</v>
      </c>
      <c r="F7" s="532">
        <f>SUM('Proy. de recur.Humanos'!C82)</f>
        <v>0</v>
      </c>
      <c r="G7" s="533">
        <f>SUM(C7:F7)</f>
        <v>221097.5</v>
      </c>
      <c r="I7" s="269"/>
    </row>
    <row r="8" spans="1:9" s="44" customFormat="1" ht="24.75" customHeight="1" thickBot="1">
      <c r="A8" s="320" t="s">
        <v>81</v>
      </c>
      <c r="B8" s="321" t="s">
        <v>82</v>
      </c>
      <c r="C8" s="322">
        <f>SUM('Proy. de recur.Humanos'!C87)</f>
        <v>22109.75</v>
      </c>
      <c r="D8" s="322">
        <f>SUM('Proy. de recur.Humanos'!C88)</f>
        <v>0</v>
      </c>
      <c r="E8" s="323">
        <f>SUM('Proy. de recur.Humanos'!C89)</f>
        <v>0</v>
      </c>
      <c r="F8" s="323">
        <f>SUM('Proy. de recur.Humanos'!C90)</f>
        <v>0</v>
      </c>
      <c r="G8" s="319">
        <f>SUM(C8:F8)</f>
        <v>22109.75</v>
      </c>
    </row>
    <row r="9" spans="1:9" s="44" customFormat="1" ht="24.75" hidden="1" customHeight="1" thickBot="1">
      <c r="A9" s="320" t="s">
        <v>83</v>
      </c>
      <c r="B9" s="321" t="s">
        <v>84</v>
      </c>
      <c r="C9" s="322">
        <v>0</v>
      </c>
      <c r="D9" s="322">
        <v>0</v>
      </c>
      <c r="E9" s="322">
        <v>0</v>
      </c>
      <c r="F9" s="322">
        <v>0</v>
      </c>
      <c r="G9" s="319">
        <f t="shared" ref="G9:G15" si="0">SUM(C9:F9)</f>
        <v>0</v>
      </c>
    </row>
    <row r="10" spans="1:9" s="44" customFormat="1" ht="24.75" hidden="1" customHeight="1" thickBot="1">
      <c r="A10" s="320" t="s">
        <v>31</v>
      </c>
      <c r="B10" s="321" t="s">
        <v>80</v>
      </c>
      <c r="C10" s="322"/>
      <c r="D10" s="324">
        <v>0</v>
      </c>
      <c r="E10" s="322">
        <v>0</v>
      </c>
      <c r="F10" s="322"/>
      <c r="G10" s="319">
        <f t="shared" si="0"/>
        <v>0</v>
      </c>
    </row>
    <row r="11" spans="1:9" s="44" customFormat="1" ht="24.75" hidden="1" customHeight="1" thickBot="1">
      <c r="A11" s="320" t="s">
        <v>86</v>
      </c>
      <c r="B11" s="321" t="s">
        <v>82</v>
      </c>
      <c r="C11" s="322"/>
      <c r="D11" s="324"/>
      <c r="E11" s="322"/>
      <c r="F11" s="322"/>
      <c r="G11" s="319">
        <f t="shared" si="0"/>
        <v>0</v>
      </c>
      <c r="I11" s="442">
        <f>359000-G15</f>
        <v>84866.65625</v>
      </c>
    </row>
    <row r="12" spans="1:9" s="44" customFormat="1" ht="24.75" customHeight="1" thickBot="1">
      <c r="A12" s="320" t="s">
        <v>89</v>
      </c>
      <c r="B12" s="321" t="s">
        <v>90</v>
      </c>
      <c r="C12" s="325">
        <f>SUM('Proy. de recur.Humanos'!L80:M80)</f>
        <v>14566.0375</v>
      </c>
      <c r="D12" s="325">
        <f>SUM('Proy. de recur.Humanos'!L81:M81)</f>
        <v>0</v>
      </c>
      <c r="E12" s="326">
        <f>SUM('Proy. de recur.Humanos'!L82:M82)</f>
        <v>0</v>
      </c>
      <c r="F12" s="326">
        <f>SUM('Proy. de recur.Humanos'!L83:M83)</f>
        <v>0</v>
      </c>
      <c r="G12" s="319">
        <f>SUM(C12:F12)</f>
        <v>14566.0375</v>
      </c>
    </row>
    <row r="13" spans="1:9" s="44" customFormat="1" ht="24.75" customHeight="1" thickBot="1">
      <c r="A13" s="327" t="s">
        <v>91</v>
      </c>
      <c r="B13" s="328" t="s">
        <v>92</v>
      </c>
      <c r="C13" s="325">
        <f>SUM('Proy. de recur.Humanos'!L86:M86)</f>
        <v>16360.05625</v>
      </c>
      <c r="D13" s="329">
        <f>SUM('Proy. de recur.Humanos'!L87:M87)</f>
        <v>0</v>
      </c>
      <c r="E13" s="326">
        <f>SUM('Proy. de recur.Humanos'!L88:M88)</f>
        <v>0</v>
      </c>
      <c r="F13" s="329">
        <f>SUM('Proy. de recur.Humanos'!L89:M89)</f>
        <v>0</v>
      </c>
      <c r="G13" s="319">
        <f t="shared" si="0"/>
        <v>16360.05625</v>
      </c>
    </row>
    <row r="14" spans="1:9" s="44" customFormat="1" ht="33" hidden="1" customHeight="1" thickBot="1">
      <c r="A14" s="330" t="s">
        <v>430</v>
      </c>
      <c r="B14" s="331" t="s">
        <v>432</v>
      </c>
      <c r="C14" s="332">
        <f>SUM('Proy. de recur.Humanos'!L92:M92)</f>
        <v>0</v>
      </c>
      <c r="D14" s="333"/>
      <c r="E14" s="333"/>
      <c r="F14" s="333"/>
      <c r="G14" s="319">
        <f t="shared" si="0"/>
        <v>0</v>
      </c>
    </row>
    <row r="15" spans="1:9" s="44" customFormat="1" ht="24.75" customHeight="1" thickBot="1">
      <c r="A15" s="1727" t="s">
        <v>304</v>
      </c>
      <c r="B15" s="1728"/>
      <c r="C15" s="534">
        <f>SUM(C7:C14)</f>
        <v>274133.34375</v>
      </c>
      <c r="D15" s="534">
        <f>SUM(D7:D13)</f>
        <v>0</v>
      </c>
      <c r="E15" s="534">
        <f>SUM(E7:E13)</f>
        <v>0</v>
      </c>
      <c r="F15" s="534">
        <f>SUM(F7:F13)</f>
        <v>0</v>
      </c>
      <c r="G15" s="535">
        <f t="shared" si="0"/>
        <v>274133.34375</v>
      </c>
    </row>
    <row r="16" spans="1:9" ht="15.75" thickBot="1">
      <c r="A16" s="29"/>
      <c r="B16" s="3"/>
      <c r="C16" s="99"/>
      <c r="D16" s="3"/>
      <c r="E16" s="3"/>
      <c r="F16" s="3"/>
      <c r="G16" s="3"/>
    </row>
    <row r="17" spans="1:7" ht="19.5" customHeight="1">
      <c r="A17" s="1731" t="s">
        <v>298</v>
      </c>
      <c r="B17" s="1732" t="s">
        <v>301</v>
      </c>
      <c r="C17" s="1730" t="s">
        <v>305</v>
      </c>
      <c r="D17" s="1730"/>
      <c r="E17" s="1730"/>
      <c r="F17" s="1730"/>
      <c r="G17" s="1730"/>
    </row>
    <row r="18" spans="1:7" ht="15" customHeight="1">
      <c r="A18" s="1731"/>
      <c r="B18" s="1732"/>
      <c r="C18" s="1729" t="s">
        <v>801</v>
      </c>
      <c r="D18" s="1729" t="s">
        <v>306</v>
      </c>
      <c r="E18" s="1729" t="s">
        <v>802</v>
      </c>
      <c r="F18" s="1729" t="s">
        <v>299</v>
      </c>
      <c r="G18" s="1729" t="s">
        <v>300</v>
      </c>
    </row>
    <row r="19" spans="1:7" ht="54" customHeight="1" thickBot="1">
      <c r="A19" s="1731"/>
      <c r="B19" s="1732"/>
      <c r="C19" s="1729"/>
      <c r="D19" s="1729"/>
      <c r="E19" s="1729"/>
      <c r="F19" s="1729"/>
      <c r="G19" s="1729"/>
    </row>
    <row r="20" spans="1:7" s="44" customFormat="1" ht="23.25" customHeight="1" thickBot="1">
      <c r="A20" s="318" t="s">
        <v>31</v>
      </c>
      <c r="B20" s="531" t="s">
        <v>80</v>
      </c>
      <c r="C20" s="548">
        <f>SUM('Proy. de recur.Humanos'!D79)</f>
        <v>44219.5</v>
      </c>
      <c r="D20" s="548">
        <f>SUM('Proy. de recur.Humanos'!D80)</f>
        <v>0</v>
      </c>
      <c r="E20" s="549">
        <f>SUM('Proy. de recur.Humanos'!D81)</f>
        <v>0</v>
      </c>
      <c r="F20" s="549">
        <f>SUM('Proy. de recur.Humanos'!D82)</f>
        <v>0</v>
      </c>
      <c r="G20" s="533">
        <f>SUM(C20:F20)</f>
        <v>44219.5</v>
      </c>
    </row>
    <row r="21" spans="1:7" s="44" customFormat="1" ht="23.25" hidden="1" customHeight="1" thickBot="1">
      <c r="A21" s="320" t="s">
        <v>86</v>
      </c>
      <c r="B21" s="321" t="s">
        <v>82</v>
      </c>
      <c r="C21" s="334">
        <v>0</v>
      </c>
      <c r="D21" s="334">
        <v>0</v>
      </c>
      <c r="E21" s="335">
        <v>0</v>
      </c>
      <c r="F21" s="335">
        <v>0</v>
      </c>
      <c r="G21" s="319">
        <f t="shared" ref="G21:G29" si="1">SUM(C21:F21)</f>
        <v>0</v>
      </c>
    </row>
    <row r="22" spans="1:7" s="44" customFormat="1" ht="23.25" customHeight="1" thickBot="1">
      <c r="A22" s="320" t="s">
        <v>83</v>
      </c>
      <c r="B22" s="321" t="s">
        <v>84</v>
      </c>
      <c r="C22" s="334">
        <f>SUM('Proy. de recur.Humanos'!C85:D85)</f>
        <v>91840</v>
      </c>
      <c r="D22" s="334">
        <v>0</v>
      </c>
      <c r="E22" s="335">
        <v>0</v>
      </c>
      <c r="F22" s="335">
        <v>0</v>
      </c>
      <c r="G22" s="319">
        <f>SUM(C22:F22)</f>
        <v>91840</v>
      </c>
    </row>
    <row r="23" spans="1:7" s="44" customFormat="1" ht="23.25" hidden="1" customHeight="1" thickBot="1">
      <c r="A23" s="320" t="s">
        <v>302</v>
      </c>
      <c r="B23" s="321" t="s">
        <v>80</v>
      </c>
      <c r="C23" s="334"/>
      <c r="D23" s="334">
        <v>0</v>
      </c>
      <c r="E23" s="336">
        <v>0</v>
      </c>
      <c r="F23" s="335"/>
      <c r="G23" s="319">
        <f t="shared" si="1"/>
        <v>0</v>
      </c>
    </row>
    <row r="24" spans="1:7" s="44" customFormat="1" ht="23.25" hidden="1" customHeight="1" thickBot="1">
      <c r="A24" s="320" t="s">
        <v>86</v>
      </c>
      <c r="B24" s="321" t="s">
        <v>82</v>
      </c>
      <c r="C24" s="334"/>
      <c r="D24" s="334">
        <f>SUM('Proy. de recur.Humanos'!F88:G88)</f>
        <v>0</v>
      </c>
      <c r="E24" s="336"/>
      <c r="F24" s="335">
        <f>SUM('Proy. de recur.Humanos'!F90:G90)</f>
        <v>0</v>
      </c>
      <c r="G24" s="319">
        <f t="shared" si="1"/>
        <v>0</v>
      </c>
    </row>
    <row r="25" spans="1:7" s="44" customFormat="1" ht="23.25" customHeight="1" thickBot="1">
      <c r="A25" s="320" t="s">
        <v>169</v>
      </c>
      <c r="B25" s="321" t="s">
        <v>170</v>
      </c>
      <c r="C25" s="334">
        <f>SUM('Proy. de recur.Humanos'!D87:E87)</f>
        <v>16199.75</v>
      </c>
      <c r="D25" s="334">
        <f>SUM('Proy. de recur.Humanos'!D88:E88)</f>
        <v>0</v>
      </c>
      <c r="E25" s="336">
        <f>SUM('Proy. de recur.Humanos'!D89:E89)</f>
        <v>0</v>
      </c>
      <c r="F25" s="335">
        <f>SUM('Proy. de recur.Humanos'!D90:E90)</f>
        <v>0</v>
      </c>
      <c r="G25" s="319">
        <f t="shared" si="1"/>
        <v>16199.75</v>
      </c>
    </row>
    <row r="26" spans="1:7" s="44" customFormat="1" ht="23.25" hidden="1" customHeight="1" thickBot="1">
      <c r="A26" s="320" t="s">
        <v>303</v>
      </c>
      <c r="B26" s="321" t="s">
        <v>87</v>
      </c>
      <c r="C26" s="334">
        <v>0</v>
      </c>
      <c r="D26" s="334">
        <v>0</v>
      </c>
      <c r="E26" s="334">
        <v>0</v>
      </c>
      <c r="F26" s="334">
        <v>0</v>
      </c>
      <c r="G26" s="319">
        <f t="shared" si="1"/>
        <v>0</v>
      </c>
    </row>
    <row r="27" spans="1:7" s="44" customFormat="1" ht="23.25" customHeight="1" thickBot="1">
      <c r="A27" s="320" t="s">
        <v>89</v>
      </c>
      <c r="B27" s="337" t="s">
        <v>90</v>
      </c>
      <c r="C27" s="334">
        <f>SUM('Proy. de recur.Humanos'!N80:P80)</f>
        <v>13473.43</v>
      </c>
      <c r="D27" s="334">
        <f>SUM('Proy. de recur.Humanos'!N81:P81)</f>
        <v>0</v>
      </c>
      <c r="E27" s="336">
        <f>SUM('Proy. de recur.Humanos'!N82:P82)</f>
        <v>0</v>
      </c>
      <c r="F27" s="334">
        <f>SUM('Proy. de recur.Humanos'!N83:P83)</f>
        <v>0</v>
      </c>
      <c r="G27" s="319">
        <f t="shared" si="1"/>
        <v>13473.43</v>
      </c>
    </row>
    <row r="28" spans="1:7" s="44" customFormat="1" ht="23.25" customHeight="1" thickBot="1">
      <c r="A28" s="330" t="s">
        <v>91</v>
      </c>
      <c r="B28" s="341" t="s">
        <v>92</v>
      </c>
      <c r="C28" s="334">
        <f>SUM('Proy. de recur.Humanos'!N86:P86)</f>
        <v>13156.48</v>
      </c>
      <c r="D28" s="334">
        <f>SUM('Proy. de recur.Humanos'!N87:P87)</f>
        <v>0</v>
      </c>
      <c r="E28" s="336">
        <f>SUM('Proy. de recur.Humanos'!N88:P88)</f>
        <v>0</v>
      </c>
      <c r="F28" s="334">
        <f>SUM('Proy. de recur.Humanos'!N89:P89)</f>
        <v>0</v>
      </c>
      <c r="G28" s="319">
        <f t="shared" si="1"/>
        <v>13156.48</v>
      </c>
    </row>
    <row r="29" spans="1:7" s="44" customFormat="1" ht="33" hidden="1" customHeight="1" thickBot="1">
      <c r="A29" s="330" t="s">
        <v>430</v>
      </c>
      <c r="B29" s="342" t="s">
        <v>431</v>
      </c>
      <c r="C29" s="338">
        <f>SUM('Proy. de recur.Humanos'!N92:P92)</f>
        <v>0</v>
      </c>
      <c r="D29" s="338"/>
      <c r="E29" s="339"/>
      <c r="F29" s="340"/>
      <c r="G29" s="319">
        <f t="shared" si="1"/>
        <v>0</v>
      </c>
    </row>
    <row r="30" spans="1:7" s="44" customFormat="1" ht="23.25" customHeight="1" thickBot="1">
      <c r="A30" s="1727" t="s">
        <v>304</v>
      </c>
      <c r="B30" s="1728"/>
      <c r="C30" s="536">
        <f>SUM(C20:C29)</f>
        <v>178889.16</v>
      </c>
      <c r="D30" s="536">
        <f>SUM(D20:D28)</f>
        <v>0</v>
      </c>
      <c r="E30" s="536">
        <f>SUM(E20:E28)</f>
        <v>0</v>
      </c>
      <c r="F30" s="536">
        <f>SUM(F20:F28)</f>
        <v>0</v>
      </c>
      <c r="G30" s="537">
        <f>SUM(C30:F30)</f>
        <v>178889.16</v>
      </c>
    </row>
    <row r="31" spans="1:7" s="44" customFormat="1" ht="23.25" customHeight="1">
      <c r="A31" s="270"/>
      <c r="B31" s="270"/>
      <c r="C31" s="270"/>
      <c r="D31" s="270"/>
      <c r="E31" s="270"/>
      <c r="F31" s="270"/>
      <c r="G31" s="270"/>
    </row>
    <row r="32" spans="1:7" s="44" customFormat="1" ht="23.25" customHeight="1">
      <c r="A32" s="1734" t="s">
        <v>307</v>
      </c>
      <c r="B32" s="1735"/>
      <c r="C32" s="1735"/>
      <c r="D32" s="1735"/>
      <c r="E32" s="1735"/>
      <c r="F32" s="1735"/>
      <c r="G32" s="847">
        <f>G30+G15</f>
        <v>453022.50375000003</v>
      </c>
    </row>
    <row r="33" spans="1:7" s="44" customFormat="1" ht="23.25" customHeight="1">
      <c r="A33" s="848"/>
      <c r="B33" s="270"/>
      <c r="C33" s="270"/>
      <c r="D33" s="270"/>
      <c r="E33" s="270"/>
      <c r="F33" s="849"/>
      <c r="G33" s="850"/>
    </row>
    <row r="34" spans="1:7" s="44" customFormat="1" ht="23.25" customHeight="1">
      <c r="A34" s="851"/>
      <c r="B34" s="851"/>
      <c r="C34" s="851"/>
      <c r="D34" s="851"/>
      <c r="E34" s="851"/>
      <c r="F34" s="851"/>
      <c r="G34" s="851"/>
    </row>
    <row r="35" spans="1:7" s="44" customFormat="1" ht="38.25" customHeight="1">
      <c r="A35" s="1726" t="s">
        <v>848</v>
      </c>
      <c r="B35" s="1726"/>
      <c r="C35" s="1726"/>
      <c r="D35" s="1726"/>
      <c r="E35" s="1726"/>
      <c r="F35" s="1726"/>
      <c r="G35" s="1726"/>
    </row>
    <row r="36" spans="1:7" s="44" customFormat="1" ht="23.25" customHeight="1"/>
    <row r="37" spans="1:7" s="44" customFormat="1" ht="23.25" customHeight="1">
      <c r="C37" s="271"/>
    </row>
    <row r="38" spans="1:7">
      <c r="C38" s="166"/>
    </row>
  </sheetData>
  <mergeCells count="22">
    <mergeCell ref="A1:G1"/>
    <mergeCell ref="A2:G2"/>
    <mergeCell ref="C4:G4"/>
    <mergeCell ref="C5:C6"/>
    <mergeCell ref="D5:D6"/>
    <mergeCell ref="E5:E6"/>
    <mergeCell ref="F5:F6"/>
    <mergeCell ref="A35:G35"/>
    <mergeCell ref="A30:B30"/>
    <mergeCell ref="G5:G6"/>
    <mergeCell ref="A15:B15"/>
    <mergeCell ref="C17:G17"/>
    <mergeCell ref="C18:C19"/>
    <mergeCell ref="D18:D19"/>
    <mergeCell ref="E18:E19"/>
    <mergeCell ref="F18:F19"/>
    <mergeCell ref="G18:G19"/>
    <mergeCell ref="A17:A19"/>
    <mergeCell ref="B17:B19"/>
    <mergeCell ref="A4:A6"/>
    <mergeCell ref="B4:B6"/>
    <mergeCell ref="A32:F32"/>
  </mergeCells>
  <phoneticPr fontId="10" type="noConversion"/>
  <pageMargins left="1.1811023622047245" right="0" top="0.94488188976377963" bottom="0.27559055118110237" header="0.19685039370078741" footer="0"/>
  <pageSetup scale="90" orientation="portrait" verticalDpi="300"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N24"/>
  <sheetViews>
    <sheetView zoomScale="130" zoomScaleNormal="130" workbookViewId="0">
      <selection activeCell="K19" sqref="A3:K19"/>
    </sheetView>
  </sheetViews>
  <sheetFormatPr baseColWidth="10" defaultRowHeight="12.75"/>
  <cols>
    <col min="1" max="1" width="4.28515625" style="642" customWidth="1"/>
    <col min="2" max="2" width="50.85546875" style="185" customWidth="1"/>
    <col min="3" max="7" width="4.7109375" style="190" customWidth="1"/>
    <col min="8" max="8" width="21" style="188" customWidth="1"/>
    <col min="9" max="9" width="13.7109375" style="189" customWidth="1"/>
    <col min="10" max="10" width="14.85546875" style="186" customWidth="1"/>
    <col min="11" max="11" width="19" style="187" customWidth="1"/>
    <col min="12" max="12" width="13.140625" style="414" hidden="1" customWidth="1"/>
    <col min="13" max="13" width="25.5703125" style="538" customWidth="1"/>
    <col min="14" max="14" width="15.7109375" customWidth="1"/>
    <col min="17" max="17" width="12.85546875" customWidth="1"/>
    <col min="18" max="18" width="14" customWidth="1"/>
  </cols>
  <sheetData>
    <row r="3" spans="1:14" ht="21.75" customHeight="1">
      <c r="A3" s="1741" t="s">
        <v>595</v>
      </c>
      <c r="B3" s="1741"/>
      <c r="C3" s="1741"/>
      <c r="D3" s="1741"/>
      <c r="E3" s="1741"/>
      <c r="F3" s="1741"/>
      <c r="G3" s="1741"/>
      <c r="H3" s="1741"/>
      <c r="I3" s="1741"/>
      <c r="J3" s="1741"/>
      <c r="K3" s="1741"/>
      <c r="L3" s="450"/>
    </row>
    <row r="4" spans="1:14" ht="21.75" customHeight="1">
      <c r="A4" s="1750" t="s">
        <v>931</v>
      </c>
      <c r="B4" s="1750"/>
      <c r="C4" s="1750"/>
      <c r="D4" s="1750"/>
      <c r="E4" s="1750"/>
      <c r="F4" s="1750"/>
      <c r="G4" s="1750"/>
      <c r="H4" s="1750"/>
      <c r="I4" s="1750"/>
      <c r="J4" s="1750"/>
      <c r="K4" s="1750"/>
      <c r="L4" s="450"/>
      <c r="N4" s="1023">
        <v>329436.46999999997</v>
      </c>
    </row>
    <row r="5" spans="1:14" ht="21.75" customHeight="1">
      <c r="A5" s="1741" t="s">
        <v>596</v>
      </c>
      <c r="B5" s="1741"/>
      <c r="C5" s="1741"/>
      <c r="D5" s="1741"/>
      <c r="E5" s="1741"/>
      <c r="F5" s="1741"/>
      <c r="G5" s="1741"/>
      <c r="H5" s="1741"/>
      <c r="I5" s="1741"/>
      <c r="J5" s="1741"/>
      <c r="K5" s="1741"/>
    </row>
    <row r="6" spans="1:14" ht="21.75" customHeight="1">
      <c r="A6" s="1749" t="s">
        <v>985</v>
      </c>
      <c r="B6" s="1749"/>
      <c r="C6" s="1749"/>
      <c r="D6" s="1749"/>
      <c r="E6" s="1749"/>
      <c r="F6" s="1749"/>
      <c r="G6" s="1749"/>
      <c r="H6" s="1749"/>
      <c r="I6" s="1749"/>
      <c r="J6" s="1749"/>
      <c r="K6" s="1749"/>
    </row>
    <row r="7" spans="1:14" ht="41.25" customHeight="1">
      <c r="A7" s="1745" t="s">
        <v>1059</v>
      </c>
      <c r="B7" s="1745"/>
      <c r="C7" s="1745"/>
      <c r="D7" s="1745"/>
      <c r="E7" s="1745"/>
      <c r="F7" s="1745"/>
      <c r="G7" s="1745"/>
      <c r="H7" s="1745"/>
      <c r="I7" s="1745"/>
      <c r="J7" s="1745"/>
      <c r="K7" s="1745"/>
    </row>
    <row r="8" spans="1:14" ht="14.25" customHeight="1">
      <c r="A8" s="1746" t="s">
        <v>364</v>
      </c>
      <c r="B8" s="1743" t="s">
        <v>1042</v>
      </c>
      <c r="C8" s="1748" t="s">
        <v>488</v>
      </c>
      <c r="D8" s="1748"/>
      <c r="E8" s="1748"/>
      <c r="F8" s="1748"/>
      <c r="G8" s="1748"/>
      <c r="H8" s="1746" t="s">
        <v>492</v>
      </c>
      <c r="I8" s="1746" t="s">
        <v>494</v>
      </c>
      <c r="J8" s="1744" t="s">
        <v>819</v>
      </c>
      <c r="K8" s="1747" t="s">
        <v>495</v>
      </c>
    </row>
    <row r="9" spans="1:14" ht="12.75" customHeight="1">
      <c r="A9" s="1746"/>
      <c r="B9" s="1743"/>
      <c r="C9" s="1231" t="s">
        <v>388</v>
      </c>
      <c r="D9" s="1231" t="s">
        <v>489</v>
      </c>
      <c r="E9" s="1231" t="s">
        <v>490</v>
      </c>
      <c r="F9" s="1231" t="s">
        <v>491</v>
      </c>
      <c r="G9" s="1231" t="s">
        <v>493</v>
      </c>
      <c r="H9" s="1746"/>
      <c r="I9" s="1746"/>
      <c r="J9" s="1744"/>
      <c r="K9" s="1747"/>
    </row>
    <row r="10" spans="1:14" s="996" customFormat="1">
      <c r="A10" s="1228">
        <v>1</v>
      </c>
      <c r="B10" s="1042" t="s">
        <v>932</v>
      </c>
      <c r="C10" s="1229" t="s">
        <v>762</v>
      </c>
      <c r="D10" s="1229" t="s">
        <v>33</v>
      </c>
      <c r="E10" s="1229" t="s">
        <v>33</v>
      </c>
      <c r="F10" s="1229" t="s">
        <v>36</v>
      </c>
      <c r="G10" s="1229" t="s">
        <v>761</v>
      </c>
      <c r="H10" s="1006" t="s">
        <v>497</v>
      </c>
      <c r="I10" s="1007" t="s">
        <v>498</v>
      </c>
      <c r="J10" s="1008">
        <f>'DETALLES PROY. 120'!H22</f>
        <v>43259.3</v>
      </c>
      <c r="K10" s="1230">
        <f>J10</f>
        <v>43259.3</v>
      </c>
      <c r="M10" s="999" t="s">
        <v>949</v>
      </c>
    </row>
    <row r="11" spans="1:14" ht="15.75" customHeight="1">
      <c r="A11" s="1005">
        <v>2</v>
      </c>
      <c r="B11" s="1042" t="s">
        <v>709</v>
      </c>
      <c r="C11" s="967" t="s">
        <v>762</v>
      </c>
      <c r="D11" s="967" t="s">
        <v>33</v>
      </c>
      <c r="E11" s="967" t="s">
        <v>33</v>
      </c>
      <c r="F11" s="967" t="s">
        <v>36</v>
      </c>
      <c r="G11" s="967" t="s">
        <v>761</v>
      </c>
      <c r="H11" s="1006" t="s">
        <v>497</v>
      </c>
      <c r="I11" s="1007" t="s">
        <v>498</v>
      </c>
      <c r="J11" s="1008">
        <f>'DETALLES PROY. 120'!H84</f>
        <v>68806</v>
      </c>
      <c r="K11" s="846">
        <f t="shared" ref="K11:K17" si="0">J11</f>
        <v>68806</v>
      </c>
    </row>
    <row r="12" spans="1:14" ht="15.75" customHeight="1">
      <c r="A12" s="1005">
        <v>3</v>
      </c>
      <c r="B12" s="1205" t="s">
        <v>723</v>
      </c>
      <c r="C12" s="967" t="s">
        <v>762</v>
      </c>
      <c r="D12" s="967" t="s">
        <v>33</v>
      </c>
      <c r="E12" s="967" t="s">
        <v>33</v>
      </c>
      <c r="F12" s="967" t="s">
        <v>36</v>
      </c>
      <c r="G12" s="967" t="s">
        <v>761</v>
      </c>
      <c r="H12" s="1006" t="s">
        <v>497</v>
      </c>
      <c r="I12" s="1007" t="s">
        <v>498</v>
      </c>
      <c r="J12" s="1008">
        <f>'DETALLES PROY. 120'!H113</f>
        <v>6320</v>
      </c>
      <c r="K12" s="846">
        <f t="shared" si="0"/>
        <v>6320</v>
      </c>
      <c r="L12" s="414" t="s">
        <v>602</v>
      </c>
    </row>
    <row r="13" spans="1:14" s="996" customFormat="1" ht="27" customHeight="1">
      <c r="A13" s="1228">
        <v>4</v>
      </c>
      <c r="B13" s="1042" t="s">
        <v>935</v>
      </c>
      <c r="C13" s="967" t="s">
        <v>762</v>
      </c>
      <c r="D13" s="967" t="s">
        <v>33</v>
      </c>
      <c r="E13" s="967" t="s">
        <v>33</v>
      </c>
      <c r="F13" s="967" t="s">
        <v>36</v>
      </c>
      <c r="G13" s="967" t="s">
        <v>761</v>
      </c>
      <c r="H13" s="1006" t="s">
        <v>497</v>
      </c>
      <c r="I13" s="1007" t="s">
        <v>498</v>
      </c>
      <c r="J13" s="1008">
        <f>'DETALLES PROY. 120'!H142</f>
        <v>8836</v>
      </c>
      <c r="K13" s="846">
        <f t="shared" si="0"/>
        <v>8836</v>
      </c>
      <c r="M13" s="999" t="s">
        <v>949</v>
      </c>
    </row>
    <row r="14" spans="1:14">
      <c r="A14" s="1005">
        <v>5</v>
      </c>
      <c r="B14" s="971" t="s">
        <v>738</v>
      </c>
      <c r="C14" s="967" t="s">
        <v>762</v>
      </c>
      <c r="D14" s="967" t="s">
        <v>33</v>
      </c>
      <c r="E14" s="967" t="s">
        <v>33</v>
      </c>
      <c r="F14" s="967" t="s">
        <v>36</v>
      </c>
      <c r="G14" s="967" t="s">
        <v>761</v>
      </c>
      <c r="H14" s="441" t="s">
        <v>497</v>
      </c>
      <c r="I14" s="449" t="s">
        <v>498</v>
      </c>
      <c r="J14" s="970">
        <f>'DETALLES PROY. 120'!H174</f>
        <v>13405</v>
      </c>
      <c r="K14" s="846">
        <f t="shared" si="0"/>
        <v>13405</v>
      </c>
    </row>
    <row r="15" spans="1:14" ht="19.5" customHeight="1">
      <c r="A15" s="1005">
        <v>6</v>
      </c>
      <c r="B15" s="971" t="s">
        <v>707</v>
      </c>
      <c r="C15" s="967" t="s">
        <v>762</v>
      </c>
      <c r="D15" s="967" t="s">
        <v>33</v>
      </c>
      <c r="E15" s="967" t="s">
        <v>33</v>
      </c>
      <c r="F15" s="967" t="s">
        <v>36</v>
      </c>
      <c r="G15" s="967" t="s">
        <v>761</v>
      </c>
      <c r="H15" s="447" t="s">
        <v>497</v>
      </c>
      <c r="I15" s="447" t="s">
        <v>498</v>
      </c>
      <c r="J15" s="968">
        <f>'DETALLES PROY. 120'!H206</f>
        <v>11931</v>
      </c>
      <c r="K15" s="846">
        <f t="shared" si="0"/>
        <v>11931</v>
      </c>
    </row>
    <row r="16" spans="1:14">
      <c r="A16" s="1228">
        <v>7</v>
      </c>
      <c r="B16" s="416" t="s">
        <v>721</v>
      </c>
      <c r="C16" s="967" t="s">
        <v>762</v>
      </c>
      <c r="D16" s="967" t="s">
        <v>33</v>
      </c>
      <c r="E16" s="967" t="s">
        <v>33</v>
      </c>
      <c r="F16" s="967" t="s">
        <v>36</v>
      </c>
      <c r="G16" s="967" t="s">
        <v>761</v>
      </c>
      <c r="H16" s="447" t="s">
        <v>497</v>
      </c>
      <c r="I16" s="447" t="s">
        <v>498</v>
      </c>
      <c r="J16" s="968">
        <f>'DETALLES PROY. 120'!H233</f>
        <v>10500</v>
      </c>
      <c r="K16" s="846">
        <f t="shared" si="0"/>
        <v>10500</v>
      </c>
    </row>
    <row r="17" spans="1:11" ht="20.25" customHeight="1">
      <c r="A17" s="1005">
        <v>8</v>
      </c>
      <c r="B17" s="415" t="s">
        <v>722</v>
      </c>
      <c r="C17" s="317" t="s">
        <v>762</v>
      </c>
      <c r="D17" s="317" t="s">
        <v>33</v>
      </c>
      <c r="E17" s="317" t="s">
        <v>33</v>
      </c>
      <c r="F17" s="317" t="s">
        <v>36</v>
      </c>
      <c r="G17" s="317" t="s">
        <v>761</v>
      </c>
      <c r="H17" s="447" t="s">
        <v>499</v>
      </c>
      <c r="I17" s="449" t="s">
        <v>498</v>
      </c>
      <c r="J17" s="969">
        <f>'DETALLES PROY. 120'!H262</f>
        <v>21050</v>
      </c>
      <c r="K17" s="846">
        <f t="shared" si="0"/>
        <v>21050</v>
      </c>
    </row>
    <row r="18" spans="1:11" ht="20.25" customHeight="1">
      <c r="A18" s="1005">
        <v>9</v>
      </c>
      <c r="B18" s="415" t="s">
        <v>1058</v>
      </c>
      <c r="C18" s="317" t="s">
        <v>762</v>
      </c>
      <c r="D18" s="317" t="s">
        <v>33</v>
      </c>
      <c r="E18" s="317" t="s">
        <v>33</v>
      </c>
      <c r="F18" s="317" t="s">
        <v>36</v>
      </c>
      <c r="G18" s="317" t="s">
        <v>761</v>
      </c>
      <c r="H18" s="447" t="s">
        <v>497</v>
      </c>
      <c r="I18" s="449" t="s">
        <v>498</v>
      </c>
      <c r="J18" s="969">
        <v>15000</v>
      </c>
      <c r="K18" s="846">
        <f>J18</f>
        <v>15000</v>
      </c>
    </row>
    <row r="19" spans="1:11" ht="15.75">
      <c r="A19" s="1742" t="s">
        <v>165</v>
      </c>
      <c r="B19" s="1742"/>
      <c r="C19" s="1742"/>
      <c r="D19" s="1742"/>
      <c r="E19" s="1742"/>
      <c r="F19" s="1742"/>
      <c r="G19" s="1742"/>
      <c r="H19" s="1742"/>
      <c r="I19" s="1742"/>
      <c r="J19" s="972">
        <f>SUM(J10:J18)</f>
        <v>199107.3</v>
      </c>
      <c r="K19" s="972">
        <f>SUM(K10:L18)</f>
        <v>199107.3</v>
      </c>
    </row>
    <row r="20" spans="1:11" ht="16.149999999999999" customHeight="1">
      <c r="B20"/>
      <c r="C20"/>
      <c r="D20"/>
      <c r="E20"/>
      <c r="F20"/>
      <c r="G20"/>
      <c r="H20"/>
      <c r="I20"/>
      <c r="J20" s="203"/>
      <c r="K20" s="203"/>
    </row>
    <row r="21" spans="1:11" ht="14.25">
      <c r="J21" s="1013"/>
      <c r="K21" s="1211"/>
    </row>
    <row r="22" spans="1:11" ht="14.25">
      <c r="J22" s="1013"/>
      <c r="K22" s="1014"/>
    </row>
    <row r="23" spans="1:11" ht="14.25">
      <c r="J23" s="1212"/>
      <c r="K23" s="1014"/>
    </row>
    <row r="24" spans="1:11">
      <c r="K24" s="1014"/>
    </row>
  </sheetData>
  <mergeCells count="13">
    <mergeCell ref="A3:K3"/>
    <mergeCell ref="A19:I19"/>
    <mergeCell ref="B8:B9"/>
    <mergeCell ref="J8:J9"/>
    <mergeCell ref="A7:K7"/>
    <mergeCell ref="A8:A9"/>
    <mergeCell ref="K8:K9"/>
    <mergeCell ref="C8:G8"/>
    <mergeCell ref="H8:H9"/>
    <mergeCell ref="I8:I9"/>
    <mergeCell ref="A6:K6"/>
    <mergeCell ref="A5:K5"/>
    <mergeCell ref="A4:K4"/>
  </mergeCells>
  <phoneticPr fontId="10" type="noConversion"/>
  <pageMargins left="0.11811023622047245" right="3.937007874015748E-2" top="0.78740157480314965" bottom="0.35433070866141736" header="0.31496062992125984" footer="0.31496062992125984"/>
  <pageSetup scale="90" orientation="landscape" horizontalDpi="0" verticalDpi="0" r:id="rId1"/>
  <colBreaks count="1" manualBreakCount="1">
    <brk id="11" min="2" max="169"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workbookViewId="0"/>
  </sheetViews>
  <sheetFormatPr baseColWidth="10" defaultRowHeight="12.7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I272"/>
  <sheetViews>
    <sheetView view="pageBreakPreview" topLeftCell="A260" zoomScale="98" zoomScaleNormal="115" zoomScaleSheetLayoutView="98" workbookViewId="0">
      <selection activeCell="A217" sqref="A217:H240"/>
    </sheetView>
  </sheetViews>
  <sheetFormatPr baseColWidth="10" defaultRowHeight="12.75"/>
  <cols>
    <col min="1" max="1" width="7.42578125" style="203" customWidth="1"/>
    <col min="2" max="2" width="10.140625" style="203" customWidth="1"/>
    <col min="3" max="3" width="9.140625" style="203" customWidth="1"/>
    <col min="4" max="4" width="12.85546875" style="203" customWidth="1"/>
    <col min="5" max="5" width="12" style="203" customWidth="1"/>
    <col min="6" max="6" width="13.140625" style="679" customWidth="1"/>
    <col min="7" max="7" width="33" style="203" customWidth="1"/>
    <col min="8" max="8" width="17.7109375" style="203" customWidth="1"/>
    <col min="9" max="9" width="12.85546875" bestFit="1" customWidth="1"/>
    <col min="11" max="11" width="11.42578125" customWidth="1"/>
  </cols>
  <sheetData>
    <row r="1" spans="1:9" ht="20.25" customHeight="1">
      <c r="A1" s="885"/>
      <c r="B1" s="885"/>
      <c r="C1" s="885"/>
      <c r="D1" s="885"/>
      <c r="E1" s="885"/>
      <c r="F1" s="901"/>
      <c r="G1" s="885"/>
      <c r="H1" s="885"/>
      <c r="I1" s="1869">
        <v>1</v>
      </c>
    </row>
    <row r="2" spans="1:9">
      <c r="A2" s="919"/>
      <c r="B2" s="920"/>
      <c r="C2" s="921"/>
      <c r="D2" s="922"/>
      <c r="E2" s="922"/>
      <c r="F2" s="901"/>
      <c r="G2" s="885"/>
      <c r="H2" s="923"/>
      <c r="I2" s="1869"/>
    </row>
    <row r="3" spans="1:9">
      <c r="A3" s="892"/>
      <c r="B3" s="903"/>
      <c r="C3" s="904"/>
      <c r="D3" s="905"/>
      <c r="E3" s="905"/>
      <c r="F3" s="906"/>
      <c r="G3" s="895"/>
      <c r="H3" s="896"/>
    </row>
    <row r="4" spans="1:9" ht="18">
      <c r="A4" s="1802" t="s">
        <v>79</v>
      </c>
      <c r="B4" s="1802"/>
      <c r="C4" s="1802"/>
      <c r="D4" s="1802"/>
      <c r="E4" s="1802"/>
      <c r="F4" s="1802"/>
      <c r="G4" s="1802"/>
      <c r="H4" s="1802"/>
    </row>
    <row r="5" spans="1:9" ht="18">
      <c r="A5" s="1802" t="s">
        <v>78</v>
      </c>
      <c r="B5" s="1802"/>
      <c r="C5" s="1802"/>
      <c r="D5" s="1802"/>
      <c r="E5" s="1802"/>
      <c r="F5" s="1802"/>
      <c r="G5" s="1802"/>
      <c r="H5" s="1802"/>
    </row>
    <row r="6" spans="1:9" ht="18">
      <c r="A6" s="1752" t="s">
        <v>174</v>
      </c>
      <c r="B6" s="1557"/>
      <c r="C6" s="1557"/>
      <c r="D6" s="1557"/>
      <c r="E6" s="1557"/>
      <c r="F6" s="1557"/>
      <c r="G6" s="1557"/>
      <c r="H6" s="1557"/>
    </row>
    <row r="7" spans="1:9" ht="18">
      <c r="A7" s="1752" t="s">
        <v>928</v>
      </c>
      <c r="B7" s="1557"/>
      <c r="C7" s="1557"/>
      <c r="D7" s="1557"/>
      <c r="E7" s="1557"/>
      <c r="F7" s="1557"/>
      <c r="G7" s="1557"/>
      <c r="H7" s="1557"/>
    </row>
    <row r="8" spans="1:9" ht="24.75" customHeight="1">
      <c r="A8" s="1752" t="s">
        <v>790</v>
      </c>
      <c r="B8" s="1557"/>
      <c r="C8" s="1557"/>
      <c r="D8" s="1557"/>
      <c r="E8" s="1557"/>
      <c r="F8" s="1557"/>
      <c r="G8" s="1557"/>
      <c r="H8" s="1557"/>
    </row>
    <row r="9" spans="1:9" ht="17.25" customHeight="1">
      <c r="A9" s="902"/>
      <c r="B9" s="903"/>
      <c r="C9" s="904"/>
      <c r="D9" s="905"/>
      <c r="E9" s="905"/>
      <c r="F9" s="906"/>
      <c r="G9" s="895"/>
      <c r="H9" s="896"/>
    </row>
    <row r="10" spans="1:9" s="538" customFormat="1" ht="39.75" customHeight="1">
      <c r="A10" s="1813" t="s">
        <v>840</v>
      </c>
      <c r="B10" s="1813"/>
      <c r="C10" s="1813"/>
      <c r="D10" s="1813"/>
      <c r="E10" s="1813"/>
      <c r="F10" s="1813"/>
      <c r="G10" s="1813"/>
      <c r="H10" s="1813"/>
    </row>
    <row r="11" spans="1:9" ht="31.5" customHeight="1">
      <c r="A11" s="1798" t="s">
        <v>934</v>
      </c>
      <c r="B11" s="1799"/>
      <c r="C11" s="1799"/>
      <c r="D11" s="1799"/>
      <c r="E11" s="1799"/>
      <c r="F11" s="1799"/>
      <c r="G11" s="1799"/>
      <c r="H11" s="1799"/>
    </row>
    <row r="12" spans="1:9" ht="30" customHeight="1" thickBot="1">
      <c r="A12" s="1814" t="s">
        <v>8</v>
      </c>
      <c r="B12" s="1815"/>
      <c r="C12" s="1815"/>
      <c r="D12" s="1815"/>
      <c r="E12" s="1815"/>
      <c r="F12" s="1816"/>
      <c r="G12" s="1768" t="s">
        <v>501</v>
      </c>
      <c r="H12" s="1770" t="s">
        <v>500</v>
      </c>
    </row>
    <row r="13" spans="1:9" ht="40.5" customHeight="1" thickBot="1">
      <c r="A13" s="907" t="s">
        <v>796</v>
      </c>
      <c r="B13" s="908" t="s">
        <v>179</v>
      </c>
      <c r="C13" s="908" t="s">
        <v>797</v>
      </c>
      <c r="D13" s="908" t="s">
        <v>21</v>
      </c>
      <c r="E13" s="909" t="s">
        <v>803</v>
      </c>
      <c r="F13" s="910" t="s">
        <v>19</v>
      </c>
      <c r="G13" s="1769"/>
      <c r="H13" s="1817"/>
    </row>
    <row r="14" spans="1:9" ht="28.5" customHeight="1">
      <c r="A14" s="539" t="s">
        <v>1091</v>
      </c>
      <c r="B14" s="540" t="s">
        <v>33</v>
      </c>
      <c r="C14" s="540" t="s">
        <v>33</v>
      </c>
      <c r="D14" s="540" t="s">
        <v>761</v>
      </c>
      <c r="E14" s="540" t="s">
        <v>761</v>
      </c>
      <c r="F14" s="1044" t="s">
        <v>31</v>
      </c>
      <c r="G14" s="191" t="s">
        <v>510</v>
      </c>
      <c r="H14" s="4">
        <f>F36</f>
        <v>29604</v>
      </c>
    </row>
    <row r="15" spans="1:9" ht="15" customHeight="1">
      <c r="A15" s="539" t="s">
        <v>1091</v>
      </c>
      <c r="B15" s="540" t="s">
        <v>33</v>
      </c>
      <c r="C15" s="540" t="s">
        <v>33</v>
      </c>
      <c r="D15" s="540" t="s">
        <v>761</v>
      </c>
      <c r="E15" s="540" t="s">
        <v>761</v>
      </c>
      <c r="F15" s="1045" t="s">
        <v>81</v>
      </c>
      <c r="G15" s="192" t="s">
        <v>729</v>
      </c>
      <c r="H15" s="4">
        <f>SUM(F47)</f>
        <v>2467</v>
      </c>
    </row>
    <row r="16" spans="1:9" ht="33.75" customHeight="1">
      <c r="A16" s="539" t="s">
        <v>1091</v>
      </c>
      <c r="B16" s="540" t="s">
        <v>33</v>
      </c>
      <c r="C16" s="540" t="s">
        <v>33</v>
      </c>
      <c r="D16" s="540" t="s">
        <v>761</v>
      </c>
      <c r="E16" s="540" t="s">
        <v>761</v>
      </c>
      <c r="F16" s="1045" t="s">
        <v>169</v>
      </c>
      <c r="G16" s="192" t="s">
        <v>504</v>
      </c>
      <c r="H16" s="4">
        <f>G47</f>
        <v>2467</v>
      </c>
    </row>
    <row r="17" spans="1:9" ht="44.25" customHeight="1">
      <c r="A17" s="539" t="s">
        <v>1091</v>
      </c>
      <c r="B17" s="540" t="s">
        <v>33</v>
      </c>
      <c r="C17" s="540" t="s">
        <v>33</v>
      </c>
      <c r="D17" s="540" t="s">
        <v>761</v>
      </c>
      <c r="E17" s="540" t="s">
        <v>761</v>
      </c>
      <c r="F17" s="1046">
        <v>51401</v>
      </c>
      <c r="G17" s="192" t="s">
        <v>842</v>
      </c>
      <c r="H17" s="883">
        <f>G51+G52</f>
        <v>2992.6800000000003</v>
      </c>
      <c r="I17" s="295"/>
    </row>
    <row r="18" spans="1:9" ht="42.75">
      <c r="A18" s="539" t="s">
        <v>1091</v>
      </c>
      <c r="B18" s="540" t="s">
        <v>33</v>
      </c>
      <c r="C18" s="540" t="s">
        <v>33</v>
      </c>
      <c r="D18" s="540" t="s">
        <v>761</v>
      </c>
      <c r="E18" s="540" t="s">
        <v>761</v>
      </c>
      <c r="F18" s="1046">
        <v>51501</v>
      </c>
      <c r="G18" s="192" t="s">
        <v>505</v>
      </c>
      <c r="H18" s="883">
        <f>G53</f>
        <v>2728.6200000000003</v>
      </c>
      <c r="I18" s="295"/>
    </row>
    <row r="19" spans="1:9" ht="34.5" customHeight="1">
      <c r="A19" s="539" t="s">
        <v>1091</v>
      </c>
      <c r="B19" s="540" t="s">
        <v>33</v>
      </c>
      <c r="C19" s="540" t="s">
        <v>33</v>
      </c>
      <c r="D19" s="540" t="s">
        <v>761</v>
      </c>
      <c r="E19" s="540" t="s">
        <v>761</v>
      </c>
      <c r="F19" s="1047">
        <v>54104</v>
      </c>
      <c r="G19" s="193" t="s">
        <v>507</v>
      </c>
      <c r="H19" s="883">
        <v>1000</v>
      </c>
    </row>
    <row r="20" spans="1:9" ht="33.75" customHeight="1">
      <c r="A20" s="539" t="s">
        <v>1091</v>
      </c>
      <c r="B20" s="540" t="s">
        <v>33</v>
      </c>
      <c r="C20" s="540" t="s">
        <v>33</v>
      </c>
      <c r="D20" s="540" t="s">
        <v>761</v>
      </c>
      <c r="E20" s="540" t="s">
        <v>761</v>
      </c>
      <c r="F20" s="1048">
        <v>54117</v>
      </c>
      <c r="G20" s="194" t="s">
        <v>730</v>
      </c>
      <c r="H20" s="883">
        <f>2000-33.9</f>
        <v>1966.1</v>
      </c>
    </row>
    <row r="21" spans="1:9" ht="15">
      <c r="A21" s="539" t="s">
        <v>1091</v>
      </c>
      <c r="B21" s="540" t="s">
        <v>33</v>
      </c>
      <c r="C21" s="540" t="s">
        <v>33</v>
      </c>
      <c r="D21" s="540" t="s">
        <v>761</v>
      </c>
      <c r="E21" s="540" t="s">
        <v>761</v>
      </c>
      <c r="F21" s="1048">
        <v>55603</v>
      </c>
      <c r="G21" s="194" t="s">
        <v>990</v>
      </c>
      <c r="H21" s="883">
        <f>16.95*2</f>
        <v>33.9</v>
      </c>
    </row>
    <row r="22" spans="1:9" ht="15.75" thickBot="1">
      <c r="A22" s="1806" t="s">
        <v>165</v>
      </c>
      <c r="B22" s="1807"/>
      <c r="C22" s="1807"/>
      <c r="D22" s="1807"/>
      <c r="E22" s="1807"/>
      <c r="F22" s="1808"/>
      <c r="G22" s="444"/>
      <c r="H22" s="477">
        <f>SUM(H14:H21)</f>
        <v>43259.3</v>
      </c>
    </row>
    <row r="23" spans="1:9" s="445" customFormat="1" ht="13.5" thickBot="1">
      <c r="A23" s="892"/>
      <c r="B23" s="892"/>
      <c r="C23" s="893"/>
      <c r="D23" s="894"/>
      <c r="E23" s="894"/>
      <c r="F23" s="911"/>
      <c r="G23" s="895"/>
      <c r="H23" s="896"/>
    </row>
    <row r="24" spans="1:9" ht="27.75" customHeight="1">
      <c r="A24" s="1771" t="s">
        <v>837</v>
      </c>
      <c r="B24" s="1818"/>
      <c r="C24" s="1818"/>
      <c r="D24" s="1818"/>
      <c r="E24" s="1818"/>
      <c r="F24" s="1818"/>
      <c r="G24" s="1819" t="s">
        <v>929</v>
      </c>
      <c r="H24" s="1820"/>
    </row>
    <row r="25" spans="1:9">
      <c r="A25" s="1810" t="s">
        <v>868</v>
      </c>
      <c r="B25" s="1811"/>
      <c r="C25" s="1811"/>
      <c r="D25" s="1811"/>
      <c r="E25" s="1811"/>
      <c r="F25" s="1812"/>
      <c r="G25" s="1810" t="s">
        <v>839</v>
      </c>
      <c r="H25" s="1812"/>
    </row>
    <row r="26" spans="1:9">
      <c r="A26" s="1756" t="s">
        <v>887</v>
      </c>
      <c r="B26" s="1757"/>
      <c r="C26" s="1757"/>
      <c r="D26" s="1757"/>
      <c r="E26" s="1757"/>
      <c r="F26" s="1758"/>
      <c r="G26" s="1796" t="s">
        <v>522</v>
      </c>
      <c r="H26" s="1755"/>
    </row>
    <row r="27" spans="1:9" ht="13.5" thickBot="1">
      <c r="A27" s="1779" t="s">
        <v>869</v>
      </c>
      <c r="B27" s="1780"/>
      <c r="C27" s="1780"/>
      <c r="D27" s="1780"/>
      <c r="E27" s="1780"/>
      <c r="F27" s="1781"/>
      <c r="G27" s="1782" t="s">
        <v>523</v>
      </c>
      <c r="H27" s="1781"/>
    </row>
    <row r="28" spans="1:9">
      <c r="A28" s="1821"/>
      <c r="B28" s="1822"/>
      <c r="C28" s="1822"/>
      <c r="D28" s="1822"/>
      <c r="E28" s="1822"/>
      <c r="F28" s="1822"/>
      <c r="G28" s="1823"/>
      <c r="H28" s="1824"/>
    </row>
    <row r="29" spans="1:9" ht="20.25">
      <c r="A29" s="1809" t="s">
        <v>517</v>
      </c>
      <c r="B29" s="1809"/>
      <c r="C29" s="1809"/>
      <c r="D29" s="1809"/>
      <c r="E29" s="1809"/>
      <c r="F29" s="1809"/>
      <c r="G29" s="1809"/>
      <c r="H29" s="1809"/>
    </row>
    <row r="30" spans="1:9" ht="42.75">
      <c r="A30" s="1783" t="s">
        <v>458</v>
      </c>
      <c r="B30" s="1783"/>
      <c r="C30" s="1783"/>
      <c r="D30" s="1783"/>
      <c r="E30" s="1783"/>
      <c r="F30" s="924" t="s">
        <v>994</v>
      </c>
      <c r="G30" s="925"/>
      <c r="H30" s="196"/>
    </row>
    <row r="31" spans="1:9" ht="15">
      <c r="A31" s="1788" t="s">
        <v>525</v>
      </c>
      <c r="B31" s="1788"/>
      <c r="C31" s="1788"/>
      <c r="D31" s="1788"/>
      <c r="E31" s="1788"/>
      <c r="F31" s="926">
        <f>533*12</f>
        <v>6396</v>
      </c>
      <c r="G31" s="927"/>
      <c r="H31" s="197"/>
    </row>
    <row r="32" spans="1:9" ht="15">
      <c r="A32" s="1788" t="s">
        <v>525</v>
      </c>
      <c r="B32" s="1788"/>
      <c r="C32" s="1788"/>
      <c r="D32" s="1788"/>
      <c r="E32" s="1788"/>
      <c r="F32" s="926">
        <f>533*12</f>
        <v>6396</v>
      </c>
      <c r="G32" s="927"/>
      <c r="H32" s="197"/>
    </row>
    <row r="33" spans="1:9" ht="15">
      <c r="A33" s="1788" t="s">
        <v>525</v>
      </c>
      <c r="B33" s="1788"/>
      <c r="C33" s="1788"/>
      <c r="D33" s="1788"/>
      <c r="E33" s="1788"/>
      <c r="F33" s="926">
        <f>467*12</f>
        <v>5604</v>
      </c>
      <c r="G33" s="927"/>
      <c r="H33" s="197"/>
    </row>
    <row r="34" spans="1:9" ht="15">
      <c r="A34" s="1788" t="s">
        <v>525</v>
      </c>
      <c r="B34" s="1788"/>
      <c r="C34" s="1788"/>
      <c r="D34" s="1788"/>
      <c r="E34" s="1788"/>
      <c r="F34" s="926">
        <f>467*12</f>
        <v>5604</v>
      </c>
      <c r="G34" s="927"/>
      <c r="H34" s="197"/>
    </row>
    <row r="35" spans="1:9" ht="15">
      <c r="A35" s="1788" t="s">
        <v>525</v>
      </c>
      <c r="B35" s="1788"/>
      <c r="C35" s="1788"/>
      <c r="D35" s="1788"/>
      <c r="E35" s="1788"/>
      <c r="F35" s="926">
        <f>467*12</f>
        <v>5604</v>
      </c>
      <c r="G35" s="928"/>
      <c r="H35" s="197"/>
    </row>
    <row r="36" spans="1:9" ht="15.75" thickBot="1">
      <c r="A36" s="1789" t="s">
        <v>165</v>
      </c>
      <c r="B36" s="1789"/>
      <c r="C36" s="1789"/>
      <c r="D36" s="1789"/>
      <c r="E36" s="1789"/>
      <c r="F36" s="929">
        <f>SUM(F31:F35)</f>
        <v>29604</v>
      </c>
      <c r="G36" s="198"/>
      <c r="H36" s="198"/>
    </row>
    <row r="37" spans="1:9" ht="12" customHeight="1" thickTop="1">
      <c r="A37" s="930"/>
      <c r="B37" s="930"/>
      <c r="C37" s="930"/>
      <c r="D37" s="930"/>
      <c r="E37" s="930"/>
      <c r="F37" s="931"/>
      <c r="G37" s="816"/>
      <c r="H37" s="816"/>
    </row>
    <row r="38" spans="1:9" ht="9" hidden="1" customHeight="1">
      <c r="A38" s="926"/>
      <c r="B38" s="926"/>
      <c r="C38" s="926"/>
      <c r="D38" s="926"/>
      <c r="E38" s="926"/>
      <c r="F38" s="926"/>
      <c r="G38" s="198"/>
      <c r="H38" s="198"/>
    </row>
    <row r="39" spans="1:9" ht="12.75" customHeight="1">
      <c r="A39" s="195"/>
      <c r="B39" s="195"/>
      <c r="C39" s="195"/>
      <c r="D39" s="195"/>
      <c r="E39" s="195"/>
      <c r="F39" s="926"/>
      <c r="G39" s="195"/>
      <c r="H39" s="195"/>
    </row>
    <row r="40" spans="1:9" ht="14.25" customHeight="1">
      <c r="A40" s="1825" t="s">
        <v>511</v>
      </c>
      <c r="B40" s="1825"/>
      <c r="C40" s="1825"/>
      <c r="D40" s="1825"/>
      <c r="E40" s="1825"/>
      <c r="F40" s="1825"/>
      <c r="G40" s="1825"/>
      <c r="H40" s="1825"/>
    </row>
    <row r="41" spans="1:9" ht="32.25" customHeight="1">
      <c r="A41" s="1827" t="s">
        <v>458</v>
      </c>
      <c r="B41" s="1827"/>
      <c r="C41" s="1827"/>
      <c r="D41" s="1827"/>
      <c r="E41" s="1827"/>
      <c r="F41" s="1232" t="s">
        <v>512</v>
      </c>
      <c r="G41" s="1233" t="s">
        <v>732</v>
      </c>
      <c r="H41" s="1234"/>
    </row>
    <row r="42" spans="1:9" ht="27" customHeight="1">
      <c r="A42" s="1788" t="s">
        <v>525</v>
      </c>
      <c r="B42" s="1788"/>
      <c r="C42" s="1788"/>
      <c r="D42" s="1788"/>
      <c r="E42" s="1788"/>
      <c r="F42" s="926">
        <v>533</v>
      </c>
      <c r="G42" s="932">
        <f>F42</f>
        <v>533</v>
      </c>
      <c r="H42" s="195"/>
    </row>
    <row r="43" spans="1:9" ht="14.25">
      <c r="A43" s="1788" t="s">
        <v>525</v>
      </c>
      <c r="B43" s="1788"/>
      <c r="C43" s="1788"/>
      <c r="D43" s="1788"/>
      <c r="E43" s="1788"/>
      <c r="F43" s="926">
        <v>533</v>
      </c>
      <c r="G43" s="932">
        <f>F43</f>
        <v>533</v>
      </c>
      <c r="H43" s="195"/>
    </row>
    <row r="44" spans="1:9" s="414" customFormat="1" ht="14.25">
      <c r="A44" s="1788" t="s">
        <v>525</v>
      </c>
      <c r="B44" s="1788"/>
      <c r="C44" s="1788"/>
      <c r="D44" s="1788"/>
      <c r="E44" s="1788"/>
      <c r="F44" s="926">
        <v>467</v>
      </c>
      <c r="G44" s="932">
        <f>F44</f>
        <v>467</v>
      </c>
      <c r="H44" s="195"/>
    </row>
    <row r="45" spans="1:9" ht="14.25">
      <c r="A45" s="1788" t="s">
        <v>525</v>
      </c>
      <c r="B45" s="1788"/>
      <c r="C45" s="1788"/>
      <c r="D45" s="1788"/>
      <c r="E45" s="1788"/>
      <c r="F45" s="926">
        <v>467</v>
      </c>
      <c r="G45" s="932">
        <f>F45</f>
        <v>467</v>
      </c>
      <c r="H45" s="195"/>
    </row>
    <row r="46" spans="1:9" s="414" customFormat="1" ht="14.25" customHeight="1">
      <c r="A46" s="1788" t="s">
        <v>525</v>
      </c>
      <c r="B46" s="1788"/>
      <c r="C46" s="1788"/>
      <c r="D46" s="1788"/>
      <c r="E46" s="1788"/>
      <c r="F46" s="926">
        <v>467</v>
      </c>
      <c r="G46" s="932">
        <f>F46</f>
        <v>467</v>
      </c>
      <c r="H46" s="195"/>
      <c r="I46"/>
    </row>
    <row r="47" spans="1:9" s="414" customFormat="1" ht="15.75" customHeight="1" thickBot="1">
      <c r="A47" s="1789" t="s">
        <v>165</v>
      </c>
      <c r="B47" s="1789"/>
      <c r="C47" s="1789"/>
      <c r="D47" s="1789"/>
      <c r="E47" s="1789"/>
      <c r="F47" s="929">
        <f>SUM(F42:F46)</f>
        <v>2467</v>
      </c>
      <c r="G47" s="933">
        <f>SUM(G42:G46)</f>
        <v>2467</v>
      </c>
      <c r="H47" s="195"/>
      <c r="I47"/>
    </row>
    <row r="48" spans="1:9" ht="13.5" thickTop="1">
      <c r="A48" s="934"/>
      <c r="B48" s="892"/>
      <c r="C48" s="893"/>
      <c r="D48" s="894"/>
      <c r="E48" s="894"/>
      <c r="F48" s="911"/>
      <c r="G48" s="895"/>
      <c r="H48" s="896"/>
    </row>
    <row r="49" spans="1:9" ht="18">
      <c r="A49" s="1826" t="s">
        <v>516</v>
      </c>
      <c r="B49" s="1826"/>
      <c r="C49" s="1826"/>
      <c r="D49" s="1826"/>
      <c r="E49" s="1826"/>
      <c r="F49" s="1826"/>
      <c r="G49" s="1826"/>
      <c r="H49" s="1826"/>
    </row>
    <row r="50" spans="1:9" ht="36">
      <c r="A50" s="1827" t="s">
        <v>731</v>
      </c>
      <c r="B50" s="1827"/>
      <c r="C50" s="1827"/>
      <c r="D50" s="1827"/>
      <c r="E50" s="1827"/>
      <c r="F50" s="1235" t="s">
        <v>993</v>
      </c>
      <c r="G50" s="1236" t="s">
        <v>165</v>
      </c>
      <c r="H50" s="1236"/>
    </row>
    <row r="51" spans="1:9" ht="30.6" customHeight="1">
      <c r="A51" s="1788" t="s">
        <v>513</v>
      </c>
      <c r="B51" s="1788"/>
      <c r="C51" s="1788"/>
      <c r="D51" s="1788"/>
      <c r="E51" s="1788"/>
      <c r="F51" s="928">
        <f>F42*7.5%*12*2+F44*7.5%*12*3+F46*7.5%*12</f>
        <v>2640.6000000000004</v>
      </c>
      <c r="G51" s="199">
        <f>SUM(E51:F51)</f>
        <v>2640.6000000000004</v>
      </c>
      <c r="H51" s="199"/>
    </row>
    <row r="52" spans="1:9" ht="27.6" customHeight="1">
      <c r="A52" s="1788" t="s">
        <v>514</v>
      </c>
      <c r="B52" s="1788"/>
      <c r="C52" s="1788"/>
      <c r="D52" s="1788"/>
      <c r="E52" s="1788"/>
      <c r="F52" s="928">
        <f>F42*1%*12*2+F44*1%*12*3+F46*1%*12*1</f>
        <v>352.08000000000004</v>
      </c>
      <c r="G52" s="199">
        <f>SUM(E52:F52)</f>
        <v>352.08000000000004</v>
      </c>
      <c r="H52" s="199"/>
    </row>
    <row r="53" spans="1:9" ht="42.6" customHeight="1">
      <c r="A53" s="1788" t="s">
        <v>515</v>
      </c>
      <c r="B53" s="1788"/>
      <c r="C53" s="1788"/>
      <c r="D53" s="1788"/>
      <c r="E53" s="1788"/>
      <c r="F53" s="928">
        <f>F42*7.75%*12*2+F44*7.75%*12*3+F46*7.75%*12*1</f>
        <v>2728.6200000000003</v>
      </c>
      <c r="G53" s="199">
        <f>SUM(E53:F53)</f>
        <v>2728.6200000000003</v>
      </c>
      <c r="H53" s="199"/>
    </row>
    <row r="54" spans="1:9" ht="40.15" customHeight="1" thickBot="1">
      <c r="A54" s="1790" t="s">
        <v>252</v>
      </c>
      <c r="B54" s="1790"/>
      <c r="C54" s="1790"/>
      <c r="D54" s="935"/>
      <c r="E54" s="935"/>
      <c r="F54" s="929">
        <f>SUM(F51:F53)</f>
        <v>5721.3000000000011</v>
      </c>
      <c r="G54" s="936">
        <f>SUM(G51:G53)</f>
        <v>5721.3000000000011</v>
      </c>
      <c r="H54" s="200"/>
    </row>
    <row r="55" spans="1:9" ht="23.25" customHeight="1" thickTop="1">
      <c r="A55" s="937"/>
      <c r="B55" s="937"/>
      <c r="C55" s="937"/>
      <c r="D55" s="938"/>
      <c r="E55" s="938"/>
      <c r="F55" s="939"/>
      <c r="G55" s="200"/>
      <c r="H55" s="200"/>
    </row>
    <row r="56" spans="1:9" ht="36.6" customHeight="1">
      <c r="A56" s="1759" t="s">
        <v>897</v>
      </c>
      <c r="B56" s="1759"/>
      <c r="C56" s="1759"/>
      <c r="D56" s="1759"/>
      <c r="E56" s="1759"/>
      <c r="F56" s="1759"/>
      <c r="G56" s="1759"/>
      <c r="H56" s="1759"/>
    </row>
    <row r="57" spans="1:9" ht="18.75" customHeight="1">
      <c r="A57" s="892"/>
      <c r="B57" s="903"/>
      <c r="C57" s="904"/>
      <c r="D57" s="905"/>
      <c r="E57" s="905"/>
      <c r="F57" s="906"/>
      <c r="G57" s="895"/>
      <c r="H57" s="896"/>
    </row>
    <row r="58" spans="1:9" s="445" customFormat="1">
      <c r="A58" s="919"/>
      <c r="B58" s="920"/>
      <c r="C58" s="921"/>
      <c r="D58" s="922"/>
      <c r="E58" s="922"/>
      <c r="F58" s="901"/>
      <c r="G58" s="885"/>
      <c r="H58" s="923"/>
    </row>
    <row r="59" spans="1:9" ht="29.45" customHeight="1">
      <c r="A59" s="919"/>
      <c r="B59" s="920"/>
      <c r="C59" s="921"/>
      <c r="D59" s="922"/>
      <c r="E59" s="922"/>
      <c r="F59" s="901"/>
      <c r="G59" s="885"/>
      <c r="H59" s="923"/>
      <c r="I59" s="1869">
        <v>2</v>
      </c>
    </row>
    <row r="60" spans="1:9" s="414" customFormat="1" ht="29.45" customHeight="1">
      <c r="A60" s="941"/>
      <c r="B60" s="942"/>
      <c r="C60" s="943"/>
      <c r="D60" s="944"/>
      <c r="E60" s="944"/>
      <c r="F60" s="918"/>
      <c r="G60" s="917"/>
      <c r="H60" s="945"/>
      <c r="I60" s="1869"/>
    </row>
    <row r="61" spans="1:9" ht="14.25" customHeight="1">
      <c r="A61" s="892"/>
      <c r="B61" s="903"/>
      <c r="C61" s="904"/>
      <c r="D61" s="905"/>
      <c r="E61" s="905"/>
      <c r="F61" s="906"/>
      <c r="G61" s="895"/>
      <c r="H61" s="896"/>
      <c r="I61" s="1869"/>
    </row>
    <row r="62" spans="1:9" ht="18">
      <c r="A62" s="1802" t="s">
        <v>79</v>
      </c>
      <c r="B62" s="1802"/>
      <c r="C62" s="1802"/>
      <c r="D62" s="1802"/>
      <c r="E62" s="1802"/>
      <c r="F62" s="1802"/>
      <c r="G62" s="1802"/>
      <c r="H62" s="1802"/>
    </row>
    <row r="63" spans="1:9" ht="18">
      <c r="A63" s="1751" t="s">
        <v>537</v>
      </c>
      <c r="B63" s="1751"/>
      <c r="C63" s="1751"/>
      <c r="D63" s="1751"/>
      <c r="E63" s="1751"/>
      <c r="F63" s="1751"/>
      <c r="G63" s="1751"/>
      <c r="H63" s="1751"/>
    </row>
    <row r="64" spans="1:9" ht="18">
      <c r="A64" s="1752" t="s">
        <v>174</v>
      </c>
      <c r="B64" s="1752"/>
      <c r="C64" s="1752"/>
      <c r="D64" s="1752"/>
      <c r="E64" s="1752"/>
      <c r="F64" s="1752"/>
      <c r="G64" s="1752"/>
      <c r="H64" s="1752"/>
    </row>
    <row r="65" spans="1:8" s="414" customFormat="1" ht="18">
      <c r="A65" s="1776" t="s">
        <v>928</v>
      </c>
      <c r="B65" s="1776"/>
      <c r="C65" s="1776"/>
      <c r="D65" s="1776"/>
      <c r="E65" s="1776"/>
      <c r="F65" s="1776"/>
      <c r="G65" s="1776"/>
      <c r="H65" s="1776"/>
    </row>
    <row r="66" spans="1:8" ht="18">
      <c r="A66" s="1752" t="s">
        <v>790</v>
      </c>
      <c r="B66" s="1752"/>
      <c r="C66" s="1752"/>
      <c r="D66" s="1752"/>
      <c r="E66" s="1752"/>
      <c r="F66" s="1752"/>
      <c r="G66" s="1752"/>
      <c r="H66" s="1752"/>
    </row>
    <row r="67" spans="1:8">
      <c r="A67" s="902"/>
      <c r="B67" s="903"/>
      <c r="C67" s="904"/>
      <c r="D67" s="905"/>
      <c r="E67" s="905"/>
      <c r="F67" s="906"/>
      <c r="G67" s="895"/>
      <c r="H67" s="896"/>
    </row>
    <row r="68" spans="1:8" s="538" customFormat="1" ht="42" customHeight="1">
      <c r="A68" s="1777" t="s">
        <v>25</v>
      </c>
      <c r="B68" s="1777"/>
      <c r="C68" s="1777"/>
      <c r="D68" s="1777"/>
      <c r="E68" s="1777"/>
      <c r="F68" s="1777"/>
      <c r="G68" s="1777"/>
      <c r="H68" s="1777"/>
    </row>
    <row r="69" spans="1:8" ht="44.25" customHeight="1">
      <c r="A69" s="1763" t="s">
        <v>880</v>
      </c>
      <c r="B69" s="1764"/>
      <c r="C69" s="1764"/>
      <c r="D69" s="1764"/>
      <c r="E69" s="1764"/>
      <c r="F69" s="1764"/>
      <c r="G69" s="1764"/>
      <c r="H69" s="1764"/>
    </row>
    <row r="70" spans="1:8" ht="13.5" thickBot="1">
      <c r="A70" s="1765" t="s">
        <v>8</v>
      </c>
      <c r="B70" s="1766"/>
      <c r="C70" s="1766"/>
      <c r="D70" s="1766"/>
      <c r="E70" s="1766"/>
      <c r="F70" s="1767"/>
      <c r="G70" s="1768" t="s">
        <v>501</v>
      </c>
      <c r="H70" s="1770" t="s">
        <v>500</v>
      </c>
    </row>
    <row r="71" spans="1:8" ht="41.25" customHeight="1" thickBot="1">
      <c r="A71" s="907" t="s">
        <v>796</v>
      </c>
      <c r="B71" s="908" t="s">
        <v>179</v>
      </c>
      <c r="C71" s="908" t="s">
        <v>797</v>
      </c>
      <c r="D71" s="908" t="s">
        <v>21</v>
      </c>
      <c r="E71" s="909" t="s">
        <v>803</v>
      </c>
      <c r="F71" s="910" t="s">
        <v>19</v>
      </c>
      <c r="G71" s="1769"/>
      <c r="H71" s="1770"/>
    </row>
    <row r="72" spans="1:8" ht="15">
      <c r="A72" s="539" t="s">
        <v>1091</v>
      </c>
      <c r="B72" s="540" t="s">
        <v>33</v>
      </c>
      <c r="C72" s="540" t="s">
        <v>33</v>
      </c>
      <c r="D72" s="540" t="s">
        <v>761</v>
      </c>
      <c r="E72" s="540" t="s">
        <v>761</v>
      </c>
      <c r="F72" s="1140">
        <v>51101</v>
      </c>
      <c r="G72" s="1145" t="s">
        <v>1017</v>
      </c>
      <c r="H72" s="1144">
        <f>500*12</f>
        <v>6000</v>
      </c>
    </row>
    <row r="73" spans="1:8" ht="14.25">
      <c r="A73" s="539" t="s">
        <v>1091</v>
      </c>
      <c r="B73" s="540" t="s">
        <v>33</v>
      </c>
      <c r="C73" s="540" t="s">
        <v>33</v>
      </c>
      <c r="D73" s="540" t="s">
        <v>761</v>
      </c>
      <c r="E73" s="540" t="s">
        <v>761</v>
      </c>
      <c r="F73" s="1085">
        <v>51103</v>
      </c>
      <c r="G73" s="1146" t="s">
        <v>249</v>
      </c>
      <c r="H73" s="1144">
        <v>500</v>
      </c>
    </row>
    <row r="74" spans="1:8" ht="14.25">
      <c r="A74" s="539" t="s">
        <v>1091</v>
      </c>
      <c r="B74" s="540" t="s">
        <v>33</v>
      </c>
      <c r="C74" s="540" t="s">
        <v>33</v>
      </c>
      <c r="D74" s="540" t="s">
        <v>761</v>
      </c>
      <c r="E74" s="540" t="s">
        <v>761</v>
      </c>
      <c r="F74" s="1141" t="s">
        <v>503</v>
      </c>
      <c r="G74" s="1146" t="s">
        <v>504</v>
      </c>
      <c r="H74" s="1144">
        <v>500</v>
      </c>
    </row>
    <row r="75" spans="1:8" ht="25.5">
      <c r="A75" s="539" t="s">
        <v>1091</v>
      </c>
      <c r="B75" s="540" t="s">
        <v>33</v>
      </c>
      <c r="C75" s="540" t="s">
        <v>33</v>
      </c>
      <c r="D75" s="540" t="s">
        <v>761</v>
      </c>
      <c r="E75" s="540" t="s">
        <v>761</v>
      </c>
      <c r="F75" s="1142">
        <v>51401</v>
      </c>
      <c r="G75" s="1146" t="s">
        <v>842</v>
      </c>
      <c r="H75" s="1144">
        <f>H72*7.75%</f>
        <v>465</v>
      </c>
    </row>
    <row r="76" spans="1:8" ht="25.5">
      <c r="A76" s="539" t="s">
        <v>1091</v>
      </c>
      <c r="B76" s="540" t="s">
        <v>33</v>
      </c>
      <c r="C76" s="540" t="s">
        <v>33</v>
      </c>
      <c r="D76" s="540" t="s">
        <v>761</v>
      </c>
      <c r="E76" s="540" t="s">
        <v>761</v>
      </c>
      <c r="F76" s="1142">
        <v>51501</v>
      </c>
      <c r="G76" s="1146" t="s">
        <v>505</v>
      </c>
      <c r="H76" s="1144">
        <f>H72*8.75%</f>
        <v>525</v>
      </c>
    </row>
    <row r="77" spans="1:8" ht="14.25">
      <c r="A77" s="539" t="s">
        <v>1091</v>
      </c>
      <c r="B77" s="540" t="s">
        <v>33</v>
      </c>
      <c r="C77" s="540" t="s">
        <v>33</v>
      </c>
      <c r="D77" s="540" t="s">
        <v>761</v>
      </c>
      <c r="E77" s="540" t="s">
        <v>761</v>
      </c>
      <c r="F77" s="1143">
        <v>51202</v>
      </c>
      <c r="G77" s="1146" t="s">
        <v>526</v>
      </c>
      <c r="H77" s="1144">
        <f>H94+370+1071+1071</f>
        <v>51616</v>
      </c>
    </row>
    <row r="78" spans="1:8" ht="14.25">
      <c r="A78" s="539" t="s">
        <v>1091</v>
      </c>
      <c r="B78" s="540" t="s">
        <v>33</v>
      </c>
      <c r="C78" s="540" t="s">
        <v>33</v>
      </c>
      <c r="D78" s="540" t="s">
        <v>761</v>
      </c>
      <c r="E78" s="540" t="s">
        <v>761</v>
      </c>
      <c r="F78" s="1143">
        <v>54106</v>
      </c>
      <c r="G78" s="1146" t="s">
        <v>645</v>
      </c>
      <c r="H78" s="1144">
        <v>2000</v>
      </c>
    </row>
    <row r="79" spans="1:8" ht="14.25">
      <c r="A79" s="539" t="s">
        <v>1091</v>
      </c>
      <c r="B79" s="540" t="s">
        <v>33</v>
      </c>
      <c r="C79" s="540" t="s">
        <v>33</v>
      </c>
      <c r="D79" s="540" t="s">
        <v>761</v>
      </c>
      <c r="E79" s="540" t="s">
        <v>761</v>
      </c>
      <c r="F79" s="1085">
        <v>54107</v>
      </c>
      <c r="G79" s="1147" t="s">
        <v>740</v>
      </c>
      <c r="H79" s="1144">
        <v>3000</v>
      </c>
    </row>
    <row r="80" spans="1:8" ht="14.25">
      <c r="A80" s="539" t="s">
        <v>1091</v>
      </c>
      <c r="B80" s="540" t="s">
        <v>33</v>
      </c>
      <c r="C80" s="540" t="s">
        <v>33</v>
      </c>
      <c r="D80" s="540" t="s">
        <v>761</v>
      </c>
      <c r="E80" s="540" t="s">
        <v>761</v>
      </c>
      <c r="F80" s="1085">
        <v>54109</v>
      </c>
      <c r="G80" s="1147" t="s">
        <v>805</v>
      </c>
      <c r="H80" s="1144">
        <v>1500</v>
      </c>
    </row>
    <row r="81" spans="1:8" ht="14.25">
      <c r="A81" s="539" t="s">
        <v>1091</v>
      </c>
      <c r="B81" s="540" t="s">
        <v>33</v>
      </c>
      <c r="C81" s="540" t="s">
        <v>33</v>
      </c>
      <c r="D81" s="540" t="s">
        <v>761</v>
      </c>
      <c r="E81" s="540" t="s">
        <v>761</v>
      </c>
      <c r="F81" s="1085">
        <v>54112</v>
      </c>
      <c r="G81" s="1147" t="s">
        <v>885</v>
      </c>
      <c r="H81" s="1144">
        <v>1000</v>
      </c>
    </row>
    <row r="82" spans="1:8" ht="14.25">
      <c r="A82" s="539" t="s">
        <v>1091</v>
      </c>
      <c r="B82" s="540" t="s">
        <v>33</v>
      </c>
      <c r="C82" s="540" t="s">
        <v>33</v>
      </c>
      <c r="D82" s="540" t="s">
        <v>761</v>
      </c>
      <c r="E82" s="540" t="s">
        <v>761</v>
      </c>
      <c r="F82" s="1085">
        <v>54199</v>
      </c>
      <c r="G82" s="1147" t="s">
        <v>508</v>
      </c>
      <c r="H82" s="1144">
        <v>1500</v>
      </c>
    </row>
    <row r="83" spans="1:8" ht="15" thickBot="1">
      <c r="A83" s="539" t="s">
        <v>1091</v>
      </c>
      <c r="B83" s="540" t="s">
        <v>33</v>
      </c>
      <c r="C83" s="540" t="s">
        <v>33</v>
      </c>
      <c r="D83" s="540" t="s">
        <v>761</v>
      </c>
      <c r="E83" s="540" t="s">
        <v>761</v>
      </c>
      <c r="F83" s="1110">
        <v>55603</v>
      </c>
      <c r="G83" s="1148" t="s">
        <v>990</v>
      </c>
      <c r="H83" s="1149">
        <v>200</v>
      </c>
    </row>
    <row r="84" spans="1:8" ht="26.45" customHeight="1" thickBot="1">
      <c r="A84" s="1760" t="s">
        <v>165</v>
      </c>
      <c r="B84" s="1761"/>
      <c r="C84" s="1761"/>
      <c r="D84" s="1761"/>
      <c r="E84" s="1761"/>
      <c r="F84" s="1762"/>
      <c r="G84" s="1150"/>
      <c r="H84" s="1151">
        <f>SUM(H72:H83)</f>
        <v>68806</v>
      </c>
    </row>
    <row r="85" spans="1:8" ht="32.450000000000003" customHeight="1" thickBot="1">
      <c r="A85" s="892"/>
      <c r="B85" s="892"/>
      <c r="C85" s="893"/>
      <c r="D85" s="894"/>
      <c r="E85" s="894"/>
      <c r="F85" s="911"/>
      <c r="G85" s="895"/>
      <c r="H85" s="896"/>
    </row>
    <row r="86" spans="1:8" s="414" customFormat="1" ht="30" customHeight="1">
      <c r="A86" s="1771" t="s">
        <v>837</v>
      </c>
      <c r="B86" s="1772"/>
      <c r="C86" s="1772"/>
      <c r="D86" s="1772"/>
      <c r="E86" s="1772"/>
      <c r="F86" s="1773"/>
      <c r="G86" s="1774" t="s">
        <v>930</v>
      </c>
      <c r="H86" s="1775"/>
    </row>
    <row r="87" spans="1:8" ht="40.15" customHeight="1">
      <c r="A87" s="1753" t="s">
        <v>881</v>
      </c>
      <c r="B87" s="1754"/>
      <c r="C87" s="1754"/>
      <c r="D87" s="1754"/>
      <c r="E87" s="1754"/>
      <c r="F87" s="1755"/>
      <c r="G87" s="1753" t="s">
        <v>839</v>
      </c>
      <c r="H87" s="1755"/>
    </row>
    <row r="88" spans="1:8" ht="32.450000000000003" customHeight="1">
      <c r="A88" s="1756" t="s">
        <v>889</v>
      </c>
      <c r="B88" s="1757"/>
      <c r="C88" s="1757"/>
      <c r="D88" s="1757"/>
      <c r="E88" s="1757"/>
      <c r="F88" s="1758"/>
      <c r="G88" s="1796" t="s">
        <v>522</v>
      </c>
      <c r="H88" s="1755"/>
    </row>
    <row r="89" spans="1:8" ht="13.5" thickBot="1">
      <c r="A89" s="1779" t="s">
        <v>734</v>
      </c>
      <c r="B89" s="1780"/>
      <c r="C89" s="1780"/>
      <c r="D89" s="1780"/>
      <c r="E89" s="1780"/>
      <c r="F89" s="1781"/>
      <c r="G89" s="1782" t="s">
        <v>523</v>
      </c>
      <c r="H89" s="1781"/>
    </row>
    <row r="90" spans="1:8" ht="31.5" customHeight="1">
      <c r="A90" s="204"/>
      <c r="B90" s="205"/>
      <c r="C90" s="205"/>
      <c r="D90" s="205"/>
      <c r="E90" s="205"/>
      <c r="F90" s="205"/>
      <c r="G90" s="205"/>
      <c r="H90" s="940"/>
    </row>
    <row r="91" spans="1:8" ht="15">
      <c r="A91" s="1783" t="s">
        <v>735</v>
      </c>
      <c r="B91" s="1783"/>
      <c r="C91" s="1783"/>
      <c r="D91" s="1783"/>
      <c r="E91" s="1783"/>
      <c r="F91" s="1016" t="s">
        <v>736</v>
      </c>
      <c r="G91" s="1016" t="s">
        <v>533</v>
      </c>
      <c r="H91" s="1010" t="s">
        <v>534</v>
      </c>
    </row>
    <row r="92" spans="1:8" ht="33" customHeight="1">
      <c r="A92" s="1778" t="s">
        <v>1082</v>
      </c>
      <c r="B92" s="1778"/>
      <c r="C92" s="1778"/>
      <c r="D92" s="1778"/>
      <c r="E92" s="1778"/>
      <c r="F92" s="543">
        <f>12*7</f>
        <v>84</v>
      </c>
      <c r="G92" s="446">
        <f>F92*31</f>
        <v>2604</v>
      </c>
      <c r="H92" s="884">
        <f>G92*12</f>
        <v>31248</v>
      </c>
    </row>
    <row r="93" spans="1:8" ht="27" customHeight="1">
      <c r="A93" s="1778" t="s">
        <v>954</v>
      </c>
      <c r="B93" s="1778"/>
      <c r="C93" s="1778"/>
      <c r="D93" s="1778"/>
      <c r="E93" s="1778"/>
      <c r="F93" s="543">
        <f>(12*4)</f>
        <v>48</v>
      </c>
      <c r="G93" s="446">
        <f>F93*31</f>
        <v>1488</v>
      </c>
      <c r="H93" s="884">
        <f>G93*12</f>
        <v>17856</v>
      </c>
    </row>
    <row r="94" spans="1:8" ht="15.75" thickBot="1">
      <c r="A94" s="206"/>
      <c r="B94" s="206"/>
      <c r="C94" s="206"/>
      <c r="D94" s="206"/>
      <c r="E94" s="206"/>
      <c r="F94" s="206"/>
      <c r="G94" s="199" t="s">
        <v>165</v>
      </c>
      <c r="H94" s="882">
        <f>SUM(H92:H93)</f>
        <v>49104</v>
      </c>
    </row>
    <row r="95" spans="1:8" ht="15.75" thickTop="1">
      <c r="A95" s="206"/>
      <c r="B95" s="206"/>
      <c r="C95" s="206"/>
      <c r="D95" s="206"/>
      <c r="E95" s="206"/>
      <c r="F95" s="206"/>
      <c r="G95" s="199"/>
      <c r="H95" s="199"/>
    </row>
    <row r="96" spans="1:8" ht="35.25" customHeight="1">
      <c r="A96" s="1759" t="s">
        <v>897</v>
      </c>
      <c r="B96" s="1759"/>
      <c r="C96" s="1759"/>
      <c r="D96" s="1759"/>
      <c r="E96" s="1759"/>
      <c r="F96" s="1759"/>
      <c r="G96" s="1759"/>
      <c r="H96" s="1759"/>
    </row>
    <row r="97" spans="1:9">
      <c r="A97" s="892"/>
      <c r="B97" s="903"/>
      <c r="C97" s="904"/>
      <c r="D97" s="905"/>
      <c r="E97" s="905"/>
      <c r="F97" s="906"/>
      <c r="G97" s="895"/>
      <c r="H97" s="896"/>
    </row>
    <row r="98" spans="1:9">
      <c r="A98" s="919"/>
      <c r="B98" s="920"/>
      <c r="C98" s="921"/>
      <c r="D98" s="922"/>
      <c r="E98" s="922"/>
      <c r="F98" s="901"/>
      <c r="G98" s="885"/>
      <c r="H98" s="923"/>
    </row>
    <row r="99" spans="1:9" s="414" customFormat="1">
      <c r="A99" s="941"/>
      <c r="B99" s="942"/>
      <c r="C99" s="943"/>
      <c r="D99" s="944"/>
      <c r="E99" s="944"/>
      <c r="F99" s="918"/>
      <c r="G99" s="917"/>
      <c r="H99" s="945"/>
    </row>
    <row r="100" spans="1:9" ht="18">
      <c r="A100" s="1802" t="s">
        <v>79</v>
      </c>
      <c r="B100" s="1802"/>
      <c r="C100" s="1802"/>
      <c r="D100" s="1802"/>
      <c r="E100" s="1802"/>
      <c r="F100" s="1802"/>
      <c r="G100" s="1802"/>
      <c r="H100" s="1802"/>
      <c r="I100" s="1869">
        <v>3</v>
      </c>
    </row>
    <row r="101" spans="1:9" ht="18">
      <c r="A101" s="1802" t="s">
        <v>537</v>
      </c>
      <c r="B101" s="1802"/>
      <c r="C101" s="1802"/>
      <c r="D101" s="1802"/>
      <c r="E101" s="1802"/>
      <c r="F101" s="1802"/>
      <c r="G101" s="1802"/>
      <c r="H101" s="1802"/>
      <c r="I101" s="1869"/>
    </row>
    <row r="102" spans="1:9" ht="18">
      <c r="A102" s="1752" t="s">
        <v>174</v>
      </c>
      <c r="B102" s="1752"/>
      <c r="C102" s="1752"/>
      <c r="D102" s="1752"/>
      <c r="E102" s="1752"/>
      <c r="F102" s="1752"/>
      <c r="G102" s="1752"/>
      <c r="H102" s="1752"/>
    </row>
    <row r="103" spans="1:9" ht="18">
      <c r="A103" s="1752" t="s">
        <v>928</v>
      </c>
      <c r="B103" s="1752"/>
      <c r="C103" s="1752"/>
      <c r="D103" s="1752"/>
      <c r="E103" s="1752"/>
      <c r="F103" s="1752"/>
      <c r="G103" s="1752"/>
      <c r="H103" s="1752"/>
    </row>
    <row r="104" spans="1:9" ht="18">
      <c r="A104" s="1752" t="s">
        <v>790</v>
      </c>
      <c r="B104" s="1752"/>
      <c r="C104" s="1752"/>
      <c r="D104" s="1752"/>
      <c r="E104" s="1752"/>
      <c r="F104" s="1752"/>
      <c r="G104" s="1752"/>
      <c r="H104" s="1752"/>
    </row>
    <row r="105" spans="1:9" ht="24.75" customHeight="1">
      <c r="A105" s="902"/>
      <c r="B105" s="903"/>
      <c r="C105" s="904"/>
      <c r="D105" s="905"/>
      <c r="E105" s="905"/>
      <c r="F105" s="906"/>
      <c r="G105" s="895"/>
      <c r="H105" s="896"/>
    </row>
    <row r="106" spans="1:9" s="538" customFormat="1" ht="42.75" customHeight="1">
      <c r="A106" s="1777" t="s">
        <v>25</v>
      </c>
      <c r="B106" s="1777"/>
      <c r="C106" s="1777"/>
      <c r="D106" s="1777"/>
      <c r="E106" s="1777"/>
      <c r="F106" s="1777"/>
      <c r="G106" s="1777"/>
      <c r="H106" s="1777"/>
    </row>
    <row r="107" spans="1:9" ht="32.25" customHeight="1">
      <c r="A107" s="1839" t="s">
        <v>882</v>
      </c>
      <c r="B107" s="1840"/>
      <c r="C107" s="1840"/>
      <c r="D107" s="1840"/>
      <c r="E107" s="1840"/>
      <c r="F107" s="1840"/>
      <c r="G107" s="1840"/>
      <c r="H107" s="1840"/>
    </row>
    <row r="108" spans="1:9" ht="16.149999999999999" customHeight="1" thickBot="1">
      <c r="A108" s="1765" t="s">
        <v>8</v>
      </c>
      <c r="B108" s="1766"/>
      <c r="C108" s="1766"/>
      <c r="D108" s="1766"/>
      <c r="E108" s="1766"/>
      <c r="F108" s="1767"/>
      <c r="G108" s="1768" t="s">
        <v>501</v>
      </c>
      <c r="H108" s="1770" t="s">
        <v>500</v>
      </c>
    </row>
    <row r="109" spans="1:9" ht="48.75" thickBot="1">
      <c r="A109" s="907" t="s">
        <v>796</v>
      </c>
      <c r="B109" s="908" t="s">
        <v>179</v>
      </c>
      <c r="C109" s="908" t="s">
        <v>797</v>
      </c>
      <c r="D109" s="908" t="s">
        <v>21</v>
      </c>
      <c r="E109" s="909" t="s">
        <v>803</v>
      </c>
      <c r="F109" s="988" t="s">
        <v>19</v>
      </c>
      <c r="G109" s="1784"/>
      <c r="H109" s="1770"/>
    </row>
    <row r="110" spans="1:9" s="538" customFormat="1" ht="29.25" customHeight="1">
      <c r="A110" s="539" t="s">
        <v>762</v>
      </c>
      <c r="B110" s="540" t="s">
        <v>33</v>
      </c>
      <c r="C110" s="540" t="s">
        <v>33</v>
      </c>
      <c r="D110" s="540" t="s">
        <v>36</v>
      </c>
      <c r="E110" s="1189" t="s">
        <v>761</v>
      </c>
      <c r="F110" s="1195" t="s">
        <v>518</v>
      </c>
      <c r="G110" s="1138" t="s">
        <v>519</v>
      </c>
      <c r="H110" s="1136">
        <v>1000</v>
      </c>
    </row>
    <row r="111" spans="1:9" s="538" customFormat="1" ht="26.25" customHeight="1">
      <c r="A111" s="539" t="s">
        <v>762</v>
      </c>
      <c r="B111" s="540" t="s">
        <v>33</v>
      </c>
      <c r="C111" s="540" t="s">
        <v>33</v>
      </c>
      <c r="D111" s="540" t="s">
        <v>36</v>
      </c>
      <c r="E111" s="1189" t="s">
        <v>761</v>
      </c>
      <c r="F111" s="1187">
        <v>55603</v>
      </c>
      <c r="G111" s="1139" t="s">
        <v>924</v>
      </c>
      <c r="H111" s="1137">
        <v>1000</v>
      </c>
    </row>
    <row r="112" spans="1:9" s="538" customFormat="1" ht="29.25" customHeight="1" thickBot="1">
      <c r="A112" s="1115" t="s">
        <v>762</v>
      </c>
      <c r="B112" s="1116" t="s">
        <v>33</v>
      </c>
      <c r="C112" s="1116" t="s">
        <v>33</v>
      </c>
      <c r="D112" s="1116" t="s">
        <v>36</v>
      </c>
      <c r="E112" s="1190" t="s">
        <v>761</v>
      </c>
      <c r="F112" s="1188">
        <v>61403</v>
      </c>
      <c r="G112" s="1199" t="s">
        <v>745</v>
      </c>
      <c r="H112" s="1198">
        <f>360*12</f>
        <v>4320</v>
      </c>
    </row>
    <row r="113" spans="1:9" ht="15" thickBot="1">
      <c r="A113" s="1785" t="s">
        <v>165</v>
      </c>
      <c r="B113" s="1786"/>
      <c r="C113" s="1786"/>
      <c r="D113" s="1786"/>
      <c r="E113" s="1786"/>
      <c r="F113" s="1787"/>
      <c r="G113" s="1152"/>
      <c r="H113" s="1153">
        <f>SUM(H110:H112)</f>
        <v>6320</v>
      </c>
    </row>
    <row r="114" spans="1:9" ht="22.5" customHeight="1" thickBot="1">
      <c r="A114" s="892"/>
      <c r="B114" s="892"/>
      <c r="C114" s="893"/>
      <c r="D114" s="894"/>
      <c r="E114" s="894"/>
      <c r="F114" s="911"/>
      <c r="G114" s="895"/>
      <c r="H114" s="896"/>
    </row>
    <row r="115" spans="1:9" ht="31.15" customHeight="1">
      <c r="A115" s="1771" t="s">
        <v>837</v>
      </c>
      <c r="B115" s="1772"/>
      <c r="C115" s="1772"/>
      <c r="D115" s="1772"/>
      <c r="E115" s="1772"/>
      <c r="F115" s="1773"/>
      <c r="G115" s="1774" t="s">
        <v>930</v>
      </c>
      <c r="H115" s="1775"/>
    </row>
    <row r="116" spans="1:9" s="414" customFormat="1">
      <c r="A116" s="1753" t="s">
        <v>836</v>
      </c>
      <c r="B116" s="1828"/>
      <c r="C116" s="1828"/>
      <c r="D116" s="1828"/>
      <c r="E116" s="1828"/>
      <c r="F116" s="1829"/>
      <c r="G116" s="1753" t="s">
        <v>839</v>
      </c>
      <c r="H116" s="1755"/>
    </row>
    <row r="117" spans="1:9" ht="30" customHeight="1">
      <c r="A117" s="1753" t="s">
        <v>891</v>
      </c>
      <c r="B117" s="1828"/>
      <c r="C117" s="1828"/>
      <c r="D117" s="1828"/>
      <c r="E117" s="1828"/>
      <c r="F117" s="1829"/>
      <c r="G117" s="1835" t="s">
        <v>522</v>
      </c>
      <c r="H117" s="1836"/>
    </row>
    <row r="118" spans="1:9" ht="13.5" thickBot="1">
      <c r="A118" s="1779" t="s">
        <v>838</v>
      </c>
      <c r="B118" s="1837"/>
      <c r="C118" s="1837"/>
      <c r="D118" s="1837"/>
      <c r="E118" s="1837"/>
      <c r="F118" s="1838"/>
      <c r="G118" s="1782" t="s">
        <v>523</v>
      </c>
      <c r="H118" s="1781"/>
    </row>
    <row r="119" spans="1:9">
      <c r="A119" s="897"/>
      <c r="B119" s="897"/>
      <c r="C119" s="897"/>
      <c r="D119" s="897"/>
      <c r="E119" s="897"/>
      <c r="F119" s="946"/>
      <c r="G119" s="900"/>
      <c r="H119" s="898"/>
    </row>
    <row r="120" spans="1:9" ht="42.75" customHeight="1">
      <c r="A120" s="1759" t="s">
        <v>897</v>
      </c>
      <c r="B120" s="1759"/>
      <c r="C120" s="1759"/>
      <c r="D120" s="1759"/>
      <c r="E120" s="1759"/>
      <c r="F120" s="1759"/>
      <c r="G120" s="1759"/>
      <c r="H120" s="1759"/>
    </row>
    <row r="121" spans="1:9" ht="24" customHeight="1">
      <c r="A121" s="941"/>
      <c r="B121" s="942"/>
      <c r="C121" s="943"/>
      <c r="D121" s="944"/>
      <c r="E121" s="944"/>
      <c r="F121" s="918"/>
      <c r="G121" s="917"/>
      <c r="H121" s="945"/>
    </row>
    <row r="122" spans="1:9" s="1004" customFormat="1" ht="14.25" customHeight="1">
      <c r="A122" s="947"/>
      <c r="B122" s="947"/>
      <c r="C122" s="947"/>
      <c r="D122" s="947"/>
      <c r="E122" s="947"/>
      <c r="F122" s="948"/>
      <c r="G122" s="947"/>
      <c r="H122" s="947"/>
    </row>
    <row r="123" spans="1:9" s="1051" customFormat="1" ht="14.25" customHeight="1">
      <c r="A123" s="1049"/>
      <c r="B123" s="1049"/>
      <c r="C123" s="1049"/>
      <c r="D123" s="1049"/>
      <c r="E123" s="1049"/>
      <c r="F123" s="1050"/>
      <c r="G123" s="1049"/>
      <c r="H123" s="1049"/>
    </row>
    <row r="124" spans="1:9" s="219" customFormat="1" ht="15" customHeight="1">
      <c r="A124" s="949"/>
      <c r="B124" s="949"/>
      <c r="C124" s="949"/>
      <c r="D124" s="949"/>
      <c r="E124" s="949"/>
      <c r="F124" s="950"/>
      <c r="G124" s="949"/>
      <c r="H124" s="949"/>
      <c r="I124" s="1869">
        <v>4</v>
      </c>
    </row>
    <row r="125" spans="1:9" s="219" customFormat="1" ht="18">
      <c r="A125" s="1802" t="s">
        <v>79</v>
      </c>
      <c r="B125" s="1802"/>
      <c r="C125" s="1802"/>
      <c r="D125" s="1802"/>
      <c r="E125" s="1802"/>
      <c r="F125" s="1802"/>
      <c r="G125" s="1802"/>
      <c r="H125" s="1802"/>
      <c r="I125" s="1869"/>
    </row>
    <row r="126" spans="1:9" s="219" customFormat="1" ht="18">
      <c r="A126" s="1752" t="s">
        <v>174</v>
      </c>
      <c r="B126" s="1752"/>
      <c r="C126" s="1752"/>
      <c r="D126" s="1752"/>
      <c r="E126" s="1752"/>
      <c r="F126" s="1752"/>
      <c r="G126" s="1752"/>
      <c r="H126" s="1752"/>
    </row>
    <row r="127" spans="1:9" ht="18">
      <c r="A127" s="1752" t="s">
        <v>928</v>
      </c>
      <c r="B127" s="1752"/>
      <c r="C127" s="1752"/>
      <c r="D127" s="1752"/>
      <c r="E127" s="1752"/>
      <c r="F127" s="1752"/>
      <c r="G127" s="1752"/>
      <c r="H127" s="1752"/>
    </row>
    <row r="128" spans="1:9" ht="18" customHeight="1">
      <c r="A128" s="1752" t="s">
        <v>790</v>
      </c>
      <c r="B128" s="1752"/>
      <c r="C128" s="1752"/>
      <c r="D128" s="1752"/>
      <c r="E128" s="1752"/>
      <c r="F128" s="1752"/>
      <c r="G128" s="1752"/>
      <c r="H128" s="1752"/>
    </row>
    <row r="129" spans="1:8">
      <c r="A129" s="902"/>
      <c r="B129" s="903"/>
      <c r="C129" s="904"/>
      <c r="D129" s="905"/>
      <c r="E129" s="905"/>
      <c r="F129" s="906"/>
      <c r="G129" s="895"/>
      <c r="H129" s="896"/>
    </row>
    <row r="130" spans="1:8" s="538" customFormat="1" ht="33.75" customHeight="1">
      <c r="A130" s="1777" t="s">
        <v>840</v>
      </c>
      <c r="B130" s="1777"/>
      <c r="C130" s="1777"/>
      <c r="D130" s="1777"/>
      <c r="E130" s="1777"/>
      <c r="F130" s="1777"/>
      <c r="G130" s="1777"/>
      <c r="H130" s="1777"/>
    </row>
    <row r="131" spans="1:8" ht="36.6" customHeight="1">
      <c r="A131" s="1798" t="s">
        <v>947</v>
      </c>
      <c r="B131" s="1799"/>
      <c r="C131" s="1799"/>
      <c r="D131" s="1799"/>
      <c r="E131" s="1799"/>
      <c r="F131" s="1799"/>
      <c r="G131" s="1799"/>
      <c r="H131" s="1799"/>
    </row>
    <row r="132" spans="1:8" ht="13.5" thickBot="1">
      <c r="A132" s="1765" t="s">
        <v>8</v>
      </c>
      <c r="B132" s="1766"/>
      <c r="C132" s="1766"/>
      <c r="D132" s="1766"/>
      <c r="E132" s="1766"/>
      <c r="F132" s="1767"/>
      <c r="G132" s="1768" t="s">
        <v>501</v>
      </c>
      <c r="H132" s="1770" t="s">
        <v>500</v>
      </c>
    </row>
    <row r="133" spans="1:8" s="445" customFormat="1" ht="24" customHeight="1" thickBot="1">
      <c r="A133" s="907" t="s">
        <v>796</v>
      </c>
      <c r="B133" s="951" t="s">
        <v>179</v>
      </c>
      <c r="C133" s="908" t="s">
        <v>797</v>
      </c>
      <c r="D133" s="951" t="s">
        <v>21</v>
      </c>
      <c r="E133" s="952" t="s">
        <v>803</v>
      </c>
      <c r="F133" s="910" t="s">
        <v>19</v>
      </c>
      <c r="G133" s="1769"/>
      <c r="H133" s="1817"/>
    </row>
    <row r="134" spans="1:8" ht="16.149999999999999" customHeight="1">
      <c r="A134" s="539" t="s">
        <v>762</v>
      </c>
      <c r="B134" s="540" t="s">
        <v>33</v>
      </c>
      <c r="C134" s="540" t="s">
        <v>33</v>
      </c>
      <c r="D134" s="540" t="s">
        <v>36</v>
      </c>
      <c r="E134" s="540" t="s">
        <v>761</v>
      </c>
      <c r="F134" s="1044" t="s">
        <v>173</v>
      </c>
      <c r="G134" s="887" t="s">
        <v>172</v>
      </c>
      <c r="H134" s="888">
        <f>6000-60</f>
        <v>5940</v>
      </c>
    </row>
    <row r="135" spans="1:8" s="414" customFormat="1" ht="15">
      <c r="A135" s="539" t="s">
        <v>762</v>
      </c>
      <c r="B135" s="540" t="s">
        <v>33</v>
      </c>
      <c r="C135" s="540" t="s">
        <v>33</v>
      </c>
      <c r="D135" s="540" t="s">
        <v>36</v>
      </c>
      <c r="E135" s="540" t="s">
        <v>761</v>
      </c>
      <c r="F135" s="1045" t="s">
        <v>407</v>
      </c>
      <c r="G135" s="889" t="s">
        <v>740</v>
      </c>
      <c r="H135" s="888">
        <v>100</v>
      </c>
    </row>
    <row r="136" spans="1:8" ht="30">
      <c r="A136" s="539" t="s">
        <v>762</v>
      </c>
      <c r="B136" s="540" t="s">
        <v>33</v>
      </c>
      <c r="C136" s="540" t="s">
        <v>33</v>
      </c>
      <c r="D136" s="540" t="s">
        <v>36</v>
      </c>
      <c r="E136" s="540" t="s">
        <v>761</v>
      </c>
      <c r="F136" s="1046">
        <v>54111</v>
      </c>
      <c r="G136" s="891" t="s">
        <v>886</v>
      </c>
      <c r="H136" s="883">
        <v>100</v>
      </c>
    </row>
    <row r="137" spans="1:8" ht="30">
      <c r="A137" s="539" t="s">
        <v>762</v>
      </c>
      <c r="B137" s="540" t="s">
        <v>33</v>
      </c>
      <c r="C137" s="540" t="s">
        <v>33</v>
      </c>
      <c r="D137" s="540" t="s">
        <v>36</v>
      </c>
      <c r="E137" s="540" t="s">
        <v>761</v>
      </c>
      <c r="F137" s="1046">
        <v>54112</v>
      </c>
      <c r="G137" s="891" t="s">
        <v>886</v>
      </c>
      <c r="H137" s="883">
        <v>100</v>
      </c>
    </row>
    <row r="138" spans="1:8" ht="15">
      <c r="A138" s="539" t="s">
        <v>762</v>
      </c>
      <c r="B138" s="540" t="s">
        <v>33</v>
      </c>
      <c r="C138" s="540" t="s">
        <v>33</v>
      </c>
      <c r="D138" s="540" t="s">
        <v>36</v>
      </c>
      <c r="E138" s="540" t="s">
        <v>761</v>
      </c>
      <c r="F138" s="1046">
        <v>54118</v>
      </c>
      <c r="G138" s="890" t="s">
        <v>806</v>
      </c>
      <c r="H138" s="883">
        <v>100</v>
      </c>
    </row>
    <row r="139" spans="1:8" ht="15">
      <c r="A139" s="539" t="s">
        <v>762</v>
      </c>
      <c r="B139" s="540" t="s">
        <v>33</v>
      </c>
      <c r="C139" s="540" t="s">
        <v>33</v>
      </c>
      <c r="D139" s="540" t="s">
        <v>36</v>
      </c>
      <c r="E139" s="540" t="s">
        <v>761</v>
      </c>
      <c r="F139" s="1046">
        <v>54201</v>
      </c>
      <c r="G139" s="890" t="s">
        <v>807</v>
      </c>
      <c r="H139" s="883">
        <v>276</v>
      </c>
    </row>
    <row r="140" spans="1:8" ht="15">
      <c r="A140" s="1070" t="s">
        <v>762</v>
      </c>
      <c r="B140" s="1070" t="s">
        <v>33</v>
      </c>
      <c r="C140" s="1070" t="s">
        <v>33</v>
      </c>
      <c r="D140" s="1070" t="s">
        <v>36</v>
      </c>
      <c r="E140" s="1070" t="s">
        <v>761</v>
      </c>
      <c r="F140" s="1070">
        <v>54202</v>
      </c>
      <c r="G140" s="890" t="s">
        <v>739</v>
      </c>
      <c r="H140" s="883">
        <v>2160</v>
      </c>
    </row>
    <row r="141" spans="1:8" ht="21.75" customHeight="1" thickBot="1">
      <c r="A141" s="1154" t="s">
        <v>762</v>
      </c>
      <c r="B141" s="1154" t="s">
        <v>33</v>
      </c>
      <c r="C141" s="1154" t="s">
        <v>33</v>
      </c>
      <c r="D141" s="1154" t="s">
        <v>36</v>
      </c>
      <c r="E141" s="1154" t="s">
        <v>761</v>
      </c>
      <c r="F141" s="1154">
        <v>55603</v>
      </c>
      <c r="G141" s="1155" t="s">
        <v>990</v>
      </c>
      <c r="H141" s="1156">
        <v>60</v>
      </c>
    </row>
    <row r="142" spans="1:8" ht="16.5" thickBot="1">
      <c r="A142" s="1760" t="s">
        <v>165</v>
      </c>
      <c r="B142" s="1761"/>
      <c r="C142" s="1761"/>
      <c r="D142" s="1761"/>
      <c r="E142" s="1761"/>
      <c r="F142" s="1762"/>
      <c r="G142" s="1150"/>
      <c r="H142" s="1157">
        <f>SUM(H134:H141)</f>
        <v>8836</v>
      </c>
    </row>
    <row r="143" spans="1:8" ht="34.9" customHeight="1" thickBot="1">
      <c r="A143" s="892"/>
      <c r="B143" s="892"/>
      <c r="C143" s="893"/>
      <c r="D143" s="894"/>
      <c r="E143" s="894"/>
      <c r="F143" s="911"/>
      <c r="G143" s="895"/>
      <c r="H143" s="896"/>
    </row>
    <row r="144" spans="1:8" ht="30" customHeight="1">
      <c r="A144" s="1771" t="s">
        <v>837</v>
      </c>
      <c r="B144" s="1772"/>
      <c r="C144" s="1772"/>
      <c r="D144" s="1772"/>
      <c r="E144" s="1772"/>
      <c r="F144" s="1773"/>
      <c r="G144" s="1819" t="s">
        <v>930</v>
      </c>
      <c r="H144" s="1820"/>
    </row>
    <row r="145" spans="1:9">
      <c r="A145" s="1753" t="s">
        <v>524</v>
      </c>
      <c r="B145" s="1828"/>
      <c r="C145" s="1828"/>
      <c r="D145" s="1828"/>
      <c r="E145" s="1828"/>
      <c r="F145" s="1829"/>
      <c r="G145" s="1753" t="s">
        <v>839</v>
      </c>
      <c r="H145" s="1755"/>
    </row>
    <row r="146" spans="1:9" ht="43.5" customHeight="1">
      <c r="A146" s="1753" t="s">
        <v>892</v>
      </c>
      <c r="B146" s="1828"/>
      <c r="C146" s="1828"/>
      <c r="D146" s="1828"/>
      <c r="E146" s="1828"/>
      <c r="F146" s="1829"/>
      <c r="G146" s="1753" t="s">
        <v>522</v>
      </c>
      <c r="H146" s="1755"/>
    </row>
    <row r="147" spans="1:9" ht="13.5" hidden="1" thickBot="1">
      <c r="A147" s="1830" t="s">
        <v>741</v>
      </c>
      <c r="B147" s="1831"/>
      <c r="C147" s="1831"/>
      <c r="D147" s="1831"/>
      <c r="E147" s="1831"/>
      <c r="F147" s="1832"/>
      <c r="G147" s="1833" t="s">
        <v>523</v>
      </c>
      <c r="H147" s="1834"/>
    </row>
    <row r="148" spans="1:9">
      <c r="A148" s="892"/>
      <c r="B148" s="903"/>
      <c r="C148" s="904"/>
      <c r="D148" s="905"/>
      <c r="E148" s="905"/>
      <c r="F148" s="906"/>
      <c r="G148" s="895"/>
      <c r="H148" s="896"/>
    </row>
    <row r="149" spans="1:9" ht="38.25" customHeight="1">
      <c r="A149" s="1759" t="s">
        <v>897</v>
      </c>
      <c r="B149" s="1759"/>
      <c r="C149" s="1759"/>
      <c r="D149" s="1759"/>
      <c r="E149" s="1759"/>
      <c r="F149" s="1759"/>
      <c r="G149" s="1759"/>
      <c r="H149" s="1759"/>
    </row>
    <row r="150" spans="1:9" ht="22.5" customHeight="1">
      <c r="A150" s="953"/>
      <c r="B150" s="953"/>
      <c r="C150" s="953"/>
      <c r="D150" s="953"/>
      <c r="E150" s="953"/>
      <c r="F150" s="911"/>
      <c r="G150" s="953"/>
      <c r="H150" s="940"/>
    </row>
    <row r="151" spans="1:9" ht="27" customHeight="1">
      <c r="A151" s="954"/>
      <c r="B151" s="954"/>
      <c r="C151" s="954"/>
      <c r="D151" s="954"/>
      <c r="E151" s="954"/>
      <c r="F151" s="955"/>
      <c r="G151" s="954"/>
      <c r="H151" s="956"/>
    </row>
    <row r="152" spans="1:9" s="1009" customFormat="1" ht="33" customHeight="1">
      <c r="A152" s="1052"/>
      <c r="B152" s="1052"/>
      <c r="C152" s="1052"/>
      <c r="D152" s="1052"/>
      <c r="E152" s="1052"/>
      <c r="F152" s="1053"/>
      <c r="G152" s="1052"/>
      <c r="H152" s="1054"/>
    </row>
    <row r="153" spans="1:9" ht="19.5" customHeight="1">
      <c r="A153" s="1802" t="s">
        <v>79</v>
      </c>
      <c r="B153" s="1802"/>
      <c r="C153" s="1802"/>
      <c r="D153" s="1802"/>
      <c r="E153" s="1802"/>
      <c r="F153" s="1802"/>
      <c r="G153" s="1802"/>
      <c r="H153" s="1802"/>
      <c r="I153" s="1869">
        <v>5</v>
      </c>
    </row>
    <row r="154" spans="1:9" ht="18" customHeight="1">
      <c r="A154" s="1802" t="s">
        <v>78</v>
      </c>
      <c r="B154" s="1802"/>
      <c r="C154" s="1802"/>
      <c r="D154" s="1802"/>
      <c r="E154" s="1802"/>
      <c r="F154" s="1802"/>
      <c r="G154" s="1802"/>
      <c r="H154" s="1802"/>
      <c r="I154" s="1869"/>
    </row>
    <row r="155" spans="1:9" ht="18">
      <c r="A155" s="1752" t="s">
        <v>174</v>
      </c>
      <c r="B155" s="1752"/>
      <c r="C155" s="1752"/>
      <c r="D155" s="1752"/>
      <c r="E155" s="1752"/>
      <c r="F155" s="1752"/>
      <c r="G155" s="1752"/>
      <c r="H155" s="1752"/>
    </row>
    <row r="156" spans="1:9" s="414" customFormat="1" ht="18">
      <c r="A156" s="1752" t="s">
        <v>928</v>
      </c>
      <c r="B156" s="1752"/>
      <c r="C156" s="1752"/>
      <c r="D156" s="1752"/>
      <c r="E156" s="1752"/>
      <c r="F156" s="1752"/>
      <c r="G156" s="1752"/>
      <c r="H156" s="1752"/>
    </row>
    <row r="157" spans="1:9" s="414" customFormat="1" ht="18">
      <c r="A157" s="1776" t="s">
        <v>790</v>
      </c>
      <c r="B157" s="1776"/>
      <c r="C157" s="1776"/>
      <c r="D157" s="1776"/>
      <c r="E157" s="1776"/>
      <c r="F157" s="1776"/>
      <c r="G157" s="1776"/>
      <c r="H157" s="1776"/>
    </row>
    <row r="158" spans="1:9">
      <c r="A158" s="902"/>
      <c r="B158" s="903"/>
      <c r="C158" s="904"/>
      <c r="D158" s="905"/>
      <c r="E158" s="905"/>
      <c r="F158" s="906"/>
      <c r="G158" s="895"/>
      <c r="H158" s="896"/>
    </row>
    <row r="159" spans="1:9" s="538" customFormat="1" ht="29.25" customHeight="1">
      <c r="A159" s="1777" t="s">
        <v>25</v>
      </c>
      <c r="B159" s="1777"/>
      <c r="C159" s="1777"/>
      <c r="D159" s="1777"/>
      <c r="E159" s="1777"/>
      <c r="F159" s="1777"/>
      <c r="G159" s="1777"/>
      <c r="H159" s="1777"/>
    </row>
    <row r="160" spans="1:9" ht="29.25" customHeight="1">
      <c r="A160" s="1798" t="s">
        <v>742</v>
      </c>
      <c r="B160" s="1799"/>
      <c r="C160" s="1799"/>
      <c r="D160" s="1799"/>
      <c r="E160" s="1799"/>
      <c r="F160" s="1799"/>
      <c r="G160" s="1799"/>
      <c r="H160" s="1799"/>
    </row>
    <row r="161" spans="1:9" ht="13.5" thickBot="1">
      <c r="A161" s="1803" t="s">
        <v>8</v>
      </c>
      <c r="B161" s="1804"/>
      <c r="C161" s="1804"/>
      <c r="D161" s="1804"/>
      <c r="E161" s="1804"/>
      <c r="F161" s="1805"/>
      <c r="G161" s="1768" t="s">
        <v>501</v>
      </c>
      <c r="H161" s="1770" t="s">
        <v>500</v>
      </c>
    </row>
    <row r="162" spans="1:9" ht="48.75" thickBot="1">
      <c r="A162" s="985" t="s">
        <v>796</v>
      </c>
      <c r="B162" s="986" t="s">
        <v>179</v>
      </c>
      <c r="C162" s="986" t="s">
        <v>797</v>
      </c>
      <c r="D162" s="986" t="s">
        <v>21</v>
      </c>
      <c r="E162" s="987" t="s">
        <v>803</v>
      </c>
      <c r="F162" s="988" t="s">
        <v>19</v>
      </c>
      <c r="G162" s="1784"/>
      <c r="H162" s="1770"/>
    </row>
    <row r="163" spans="1:9" ht="15">
      <c r="A163" s="1171" t="s">
        <v>762</v>
      </c>
      <c r="B163" s="1171" t="s">
        <v>33</v>
      </c>
      <c r="C163" s="1171" t="s">
        <v>33</v>
      </c>
      <c r="D163" s="1171" t="s">
        <v>36</v>
      </c>
      <c r="E163" s="1172" t="s">
        <v>761</v>
      </c>
      <c r="F163" s="1175">
        <v>51101</v>
      </c>
      <c r="G163" s="1138" t="s">
        <v>926</v>
      </c>
      <c r="H163" s="1165">
        <f>465*12</f>
        <v>5580</v>
      </c>
    </row>
    <row r="164" spans="1:9" ht="15">
      <c r="A164" s="547" t="s">
        <v>762</v>
      </c>
      <c r="B164" s="547" t="s">
        <v>33</v>
      </c>
      <c r="C164" s="547" t="s">
        <v>33</v>
      </c>
      <c r="D164" s="547" t="s">
        <v>36</v>
      </c>
      <c r="E164" s="1173" t="s">
        <v>761</v>
      </c>
      <c r="F164" s="1176">
        <v>51103</v>
      </c>
      <c r="G164" s="1139" t="s">
        <v>249</v>
      </c>
      <c r="H164" s="1166">
        <v>465</v>
      </c>
    </row>
    <row r="165" spans="1:9" ht="15">
      <c r="A165" s="547" t="s">
        <v>762</v>
      </c>
      <c r="B165" s="547" t="s">
        <v>33</v>
      </c>
      <c r="C165" s="547" t="s">
        <v>33</v>
      </c>
      <c r="D165" s="547" t="s">
        <v>36</v>
      </c>
      <c r="E165" s="1173" t="s">
        <v>761</v>
      </c>
      <c r="F165" s="1177" t="s">
        <v>503</v>
      </c>
      <c r="G165" s="1139" t="s">
        <v>504</v>
      </c>
      <c r="H165" s="1166">
        <v>465</v>
      </c>
    </row>
    <row r="166" spans="1:9" ht="42.75">
      <c r="A166" s="547" t="s">
        <v>762</v>
      </c>
      <c r="B166" s="547" t="s">
        <v>33</v>
      </c>
      <c r="C166" s="547" t="s">
        <v>33</v>
      </c>
      <c r="D166" s="547" t="s">
        <v>36</v>
      </c>
      <c r="E166" s="1173" t="s">
        <v>761</v>
      </c>
      <c r="F166" s="1178">
        <v>51401</v>
      </c>
      <c r="G166" s="1139" t="s">
        <v>842</v>
      </c>
      <c r="H166" s="1166">
        <v>735</v>
      </c>
    </row>
    <row r="167" spans="1:9" ht="42.75">
      <c r="A167" s="547" t="s">
        <v>762</v>
      </c>
      <c r="B167" s="547" t="s">
        <v>33</v>
      </c>
      <c r="C167" s="547" t="s">
        <v>33</v>
      </c>
      <c r="D167" s="547" t="s">
        <v>36</v>
      </c>
      <c r="E167" s="1173" t="s">
        <v>761</v>
      </c>
      <c r="F167" s="1178">
        <v>51501</v>
      </c>
      <c r="G167" s="1139" t="s">
        <v>505</v>
      </c>
      <c r="H167" s="1166">
        <v>730</v>
      </c>
    </row>
    <row r="168" spans="1:9" ht="28.5">
      <c r="A168" s="989" t="s">
        <v>762</v>
      </c>
      <c r="B168" s="989" t="s">
        <v>33</v>
      </c>
      <c r="C168" s="989" t="s">
        <v>33</v>
      </c>
      <c r="D168" s="989" t="s">
        <v>36</v>
      </c>
      <c r="E168" s="1174" t="s">
        <v>761</v>
      </c>
      <c r="F168" s="1178">
        <v>54101</v>
      </c>
      <c r="G168" s="1139" t="s">
        <v>725</v>
      </c>
      <c r="H168" s="1166">
        <v>600</v>
      </c>
    </row>
    <row r="169" spans="1:9" ht="27" customHeight="1">
      <c r="A169" s="989" t="s">
        <v>762</v>
      </c>
      <c r="B169" s="989" t="s">
        <v>33</v>
      </c>
      <c r="C169" s="989" t="s">
        <v>33</v>
      </c>
      <c r="D169" s="989" t="s">
        <v>36</v>
      </c>
      <c r="E169" s="1174" t="s">
        <v>761</v>
      </c>
      <c r="F169" s="1046">
        <v>54104</v>
      </c>
      <c r="G169" s="1139" t="s">
        <v>925</v>
      </c>
      <c r="H169" s="1167">
        <v>500</v>
      </c>
    </row>
    <row r="170" spans="1:9" ht="30.75" customHeight="1">
      <c r="A170" s="989" t="s">
        <v>762</v>
      </c>
      <c r="B170" s="989" t="s">
        <v>33</v>
      </c>
      <c r="C170" s="989" t="s">
        <v>33</v>
      </c>
      <c r="D170" s="989" t="s">
        <v>36</v>
      </c>
      <c r="E170" s="1174" t="s">
        <v>761</v>
      </c>
      <c r="F170" s="1046" t="s">
        <v>518</v>
      </c>
      <c r="G170" s="1139" t="s">
        <v>519</v>
      </c>
      <c r="H170" s="1167">
        <v>800</v>
      </c>
    </row>
    <row r="171" spans="1:9" ht="28.5">
      <c r="A171" s="547" t="s">
        <v>762</v>
      </c>
      <c r="B171" s="547" t="s">
        <v>33</v>
      </c>
      <c r="C171" s="547" t="s">
        <v>33</v>
      </c>
      <c r="D171" s="547" t="s">
        <v>36</v>
      </c>
      <c r="E171" s="1173" t="s">
        <v>761</v>
      </c>
      <c r="F171" s="1046">
        <v>54199</v>
      </c>
      <c r="G171" s="1169" t="s">
        <v>746</v>
      </c>
      <c r="H171" s="1167">
        <v>970</v>
      </c>
    </row>
    <row r="172" spans="1:9" ht="15">
      <c r="A172" s="547" t="s">
        <v>762</v>
      </c>
      <c r="B172" s="547" t="s">
        <v>33</v>
      </c>
      <c r="C172" s="547" t="s">
        <v>33</v>
      </c>
      <c r="D172" s="547" t="s">
        <v>36</v>
      </c>
      <c r="E172" s="1173" t="s">
        <v>761</v>
      </c>
      <c r="F172" s="1046">
        <v>55603</v>
      </c>
      <c r="G172" s="1169" t="s">
        <v>990</v>
      </c>
      <c r="H172" s="1167">
        <v>60</v>
      </c>
    </row>
    <row r="173" spans="1:9" ht="15.75" thickBot="1">
      <c r="A173" s="547" t="s">
        <v>762</v>
      </c>
      <c r="B173" s="547" t="s">
        <v>33</v>
      </c>
      <c r="C173" s="547" t="s">
        <v>33</v>
      </c>
      <c r="D173" s="547" t="s">
        <v>36</v>
      </c>
      <c r="E173" s="1173" t="s">
        <v>761</v>
      </c>
      <c r="F173" s="1179">
        <v>56304</v>
      </c>
      <c r="G173" s="1170" t="s">
        <v>520</v>
      </c>
      <c r="H173" s="1168">
        <v>2500</v>
      </c>
    </row>
    <row r="174" spans="1:9" ht="15.75" thickBot="1">
      <c r="A174" s="1785" t="s">
        <v>165</v>
      </c>
      <c r="B174" s="1786"/>
      <c r="C174" s="1786"/>
      <c r="D174" s="1786"/>
      <c r="E174" s="1786"/>
      <c r="F174" s="1787"/>
      <c r="G174" s="1152"/>
      <c r="H174" s="1159">
        <f>SUM(H163:H173)</f>
        <v>13405</v>
      </c>
      <c r="I174" s="71">
        <f>SUM(H168:H173)</f>
        <v>5430</v>
      </c>
    </row>
    <row r="175" spans="1:9" ht="13.5" thickBot="1">
      <c r="A175" s="892"/>
      <c r="B175" s="892"/>
      <c r="C175" s="893"/>
      <c r="D175" s="894"/>
      <c r="E175" s="894"/>
      <c r="F175" s="911"/>
      <c r="G175" s="895"/>
      <c r="H175" s="896"/>
    </row>
    <row r="176" spans="1:9" ht="27.75" customHeight="1">
      <c r="A176" s="1771" t="s">
        <v>837</v>
      </c>
      <c r="B176" s="1772"/>
      <c r="C176" s="1772"/>
      <c r="D176" s="1772"/>
      <c r="E176" s="1772"/>
      <c r="F176" s="1773"/>
      <c r="G176" s="1774" t="s">
        <v>930</v>
      </c>
      <c r="H176" s="1775"/>
    </row>
    <row r="177" spans="1:9">
      <c r="A177" s="1753" t="s">
        <v>808</v>
      </c>
      <c r="B177" s="1828"/>
      <c r="C177" s="1828"/>
      <c r="D177" s="1828"/>
      <c r="E177" s="1828"/>
      <c r="F177" s="1829"/>
      <c r="G177" s="1753" t="s">
        <v>839</v>
      </c>
      <c r="H177" s="1755"/>
    </row>
    <row r="178" spans="1:9" s="538" customFormat="1" ht="30" customHeight="1">
      <c r="A178" s="1753" t="s">
        <v>893</v>
      </c>
      <c r="B178" s="1828"/>
      <c r="C178" s="1828"/>
      <c r="D178" s="1828"/>
      <c r="E178" s="1828"/>
      <c r="F178" s="1829"/>
      <c r="G178" s="1796" t="s">
        <v>522</v>
      </c>
      <c r="H178" s="1755"/>
    </row>
    <row r="179" spans="1:9" ht="32.25" customHeight="1" thickBot="1">
      <c r="A179" s="1779" t="s">
        <v>871</v>
      </c>
      <c r="B179" s="1837"/>
      <c r="C179" s="1837"/>
      <c r="D179" s="1837"/>
      <c r="E179" s="1837"/>
      <c r="F179" s="1838"/>
      <c r="G179" s="1782" t="s">
        <v>523</v>
      </c>
      <c r="H179" s="1781"/>
    </row>
    <row r="180" spans="1:9" ht="15.75" customHeight="1">
      <c r="A180" s="892"/>
      <c r="B180" s="903"/>
      <c r="C180" s="904"/>
      <c r="D180" s="905"/>
      <c r="E180" s="905"/>
      <c r="F180" s="906"/>
      <c r="G180" s="895"/>
      <c r="H180" s="896"/>
    </row>
    <row r="181" spans="1:9" s="538" customFormat="1" ht="35.25" customHeight="1">
      <c r="A181" s="1759" t="s">
        <v>897</v>
      </c>
      <c r="B181" s="1759"/>
      <c r="C181" s="1759"/>
      <c r="D181" s="1759"/>
      <c r="E181" s="1759"/>
      <c r="F181" s="1759"/>
      <c r="G181" s="1759"/>
      <c r="H181" s="1759"/>
    </row>
    <row r="182" spans="1:9" s="538" customFormat="1">
      <c r="A182" s="953"/>
      <c r="B182" s="953"/>
      <c r="C182" s="953"/>
      <c r="D182" s="953"/>
      <c r="E182" s="953"/>
      <c r="F182" s="911"/>
      <c r="G182" s="953"/>
      <c r="H182" s="940"/>
    </row>
    <row r="183" spans="1:9" s="538" customFormat="1" ht="30" customHeight="1">
      <c r="A183" s="954"/>
      <c r="B183" s="954"/>
      <c r="C183" s="954"/>
      <c r="D183" s="954"/>
      <c r="E183" s="954"/>
      <c r="F183" s="955"/>
      <c r="G183" s="954"/>
      <c r="H183" s="956"/>
    </row>
    <row r="184" spans="1:9" s="538" customFormat="1">
      <c r="A184" s="953"/>
      <c r="B184" s="953"/>
      <c r="C184" s="953"/>
      <c r="D184" s="953"/>
      <c r="E184" s="953"/>
      <c r="F184" s="911"/>
      <c r="G184" s="953"/>
      <c r="H184" s="940"/>
    </row>
    <row r="185" spans="1:9" ht="18">
      <c r="A185" s="1802" t="s">
        <v>79</v>
      </c>
      <c r="B185" s="1802"/>
      <c r="C185" s="1802"/>
      <c r="D185" s="1802"/>
      <c r="E185" s="1802"/>
      <c r="F185" s="1802"/>
      <c r="G185" s="1802"/>
      <c r="H185" s="1802"/>
      <c r="I185" s="1869">
        <v>6</v>
      </c>
    </row>
    <row r="186" spans="1:9" s="448" customFormat="1" ht="18.75">
      <c r="A186" s="1802" t="s">
        <v>78</v>
      </c>
      <c r="B186" s="1802"/>
      <c r="C186" s="1802"/>
      <c r="D186" s="1802"/>
      <c r="E186" s="1802"/>
      <c r="F186" s="1802"/>
      <c r="G186" s="1802"/>
      <c r="H186" s="1802"/>
      <c r="I186" s="1869"/>
    </row>
    <row r="187" spans="1:9" s="414" customFormat="1" ht="18">
      <c r="A187" s="1776" t="s">
        <v>174</v>
      </c>
      <c r="B187" s="1776"/>
      <c r="C187" s="1776"/>
      <c r="D187" s="1776"/>
      <c r="E187" s="1776"/>
      <c r="F187" s="1776"/>
      <c r="G187" s="1776"/>
      <c r="H187" s="1776"/>
    </row>
    <row r="188" spans="1:9" s="414" customFormat="1" ht="18">
      <c r="A188" s="1752" t="s">
        <v>928</v>
      </c>
      <c r="B188" s="1752"/>
      <c r="C188" s="1752"/>
      <c r="D188" s="1752"/>
      <c r="E188" s="1752"/>
      <c r="F188" s="1752"/>
      <c r="G188" s="1752"/>
      <c r="H188" s="1752"/>
    </row>
    <row r="189" spans="1:9" ht="18">
      <c r="A189" s="1752" t="s">
        <v>790</v>
      </c>
      <c r="B189" s="1752"/>
      <c r="C189" s="1752"/>
      <c r="D189" s="1752"/>
      <c r="E189" s="1752"/>
      <c r="F189" s="1752"/>
      <c r="G189" s="1752"/>
      <c r="H189" s="1752"/>
    </row>
    <row r="190" spans="1:9" ht="17.25" customHeight="1">
      <c r="A190" s="902"/>
      <c r="B190" s="903"/>
      <c r="C190" s="904"/>
      <c r="D190" s="905"/>
      <c r="E190" s="905"/>
      <c r="F190" s="906"/>
      <c r="G190" s="895"/>
      <c r="H190" s="896"/>
    </row>
    <row r="191" spans="1:9" ht="35.25" customHeight="1">
      <c r="A191" s="1777" t="s">
        <v>840</v>
      </c>
      <c r="B191" s="1777"/>
      <c r="C191" s="1777"/>
      <c r="D191" s="1777"/>
      <c r="E191" s="1777"/>
      <c r="F191" s="1777"/>
      <c r="G191" s="1777"/>
      <c r="H191" s="1777"/>
    </row>
    <row r="192" spans="1:9" ht="18">
      <c r="A192" s="1798" t="s">
        <v>747</v>
      </c>
      <c r="B192" s="1799"/>
      <c r="C192" s="1799"/>
      <c r="D192" s="1799"/>
      <c r="E192" s="1799"/>
      <c r="F192" s="1799"/>
      <c r="G192" s="1799"/>
      <c r="H192" s="1799"/>
    </row>
    <row r="193" spans="1:8" ht="13.5" thickBot="1">
      <c r="A193" s="1765" t="s">
        <v>8</v>
      </c>
      <c r="B193" s="1766"/>
      <c r="C193" s="1766"/>
      <c r="D193" s="1766"/>
      <c r="E193" s="1766"/>
      <c r="F193" s="1767"/>
      <c r="G193" s="1768" t="s">
        <v>501</v>
      </c>
      <c r="H193" s="1768" t="s">
        <v>500</v>
      </c>
    </row>
    <row r="194" spans="1:8" ht="48.75" thickBot="1">
      <c r="A194" s="985" t="s">
        <v>796</v>
      </c>
      <c r="B194" s="986" t="s">
        <v>179</v>
      </c>
      <c r="C194" s="986" t="s">
        <v>797</v>
      </c>
      <c r="D194" s="986" t="s">
        <v>21</v>
      </c>
      <c r="E194" s="987" t="s">
        <v>803</v>
      </c>
      <c r="F194" s="988" t="s">
        <v>19</v>
      </c>
      <c r="G194" s="1784"/>
      <c r="H194" s="1784"/>
    </row>
    <row r="195" spans="1:8" ht="15.75" thickBot="1">
      <c r="A195" s="989" t="s">
        <v>762</v>
      </c>
      <c r="B195" s="989" t="s">
        <v>33</v>
      </c>
      <c r="C195" s="989" t="s">
        <v>33</v>
      </c>
      <c r="D195" s="989" t="s">
        <v>36</v>
      </c>
      <c r="E195" s="1174" t="s">
        <v>761</v>
      </c>
      <c r="F195" s="1182">
        <v>51101</v>
      </c>
      <c r="G195" s="1139" t="s">
        <v>926</v>
      </c>
      <c r="H195" s="1164">
        <f>450*12</f>
        <v>5400</v>
      </c>
    </row>
    <row r="196" spans="1:8" ht="15.75" thickBot="1">
      <c r="A196" s="547" t="s">
        <v>762</v>
      </c>
      <c r="B196" s="547" t="s">
        <v>33</v>
      </c>
      <c r="C196" s="547" t="s">
        <v>33</v>
      </c>
      <c r="D196" s="547" t="s">
        <v>36</v>
      </c>
      <c r="E196" s="1173" t="s">
        <v>761</v>
      </c>
      <c r="F196" s="1183">
        <v>51103</v>
      </c>
      <c r="G196" s="1139" t="s">
        <v>249</v>
      </c>
      <c r="H196" s="1164">
        <v>450</v>
      </c>
    </row>
    <row r="197" spans="1:8" ht="15.75" thickBot="1">
      <c r="A197" s="547" t="s">
        <v>762</v>
      </c>
      <c r="B197" s="547" t="s">
        <v>33</v>
      </c>
      <c r="C197" s="547" t="s">
        <v>33</v>
      </c>
      <c r="D197" s="547" t="s">
        <v>36</v>
      </c>
      <c r="E197" s="1173" t="s">
        <v>761</v>
      </c>
      <c r="F197" s="1184" t="s">
        <v>503</v>
      </c>
      <c r="G197" s="1139" t="s">
        <v>504</v>
      </c>
      <c r="H197" s="1164">
        <v>450</v>
      </c>
    </row>
    <row r="198" spans="1:8" ht="43.5" thickBot="1">
      <c r="A198" s="547" t="s">
        <v>762</v>
      </c>
      <c r="B198" s="547" t="s">
        <v>33</v>
      </c>
      <c r="C198" s="547" t="s">
        <v>33</v>
      </c>
      <c r="D198" s="547" t="s">
        <v>36</v>
      </c>
      <c r="E198" s="1173" t="s">
        <v>761</v>
      </c>
      <c r="F198" s="1185">
        <v>51401</v>
      </c>
      <c r="G198" s="1139" t="s">
        <v>842</v>
      </c>
      <c r="H198" s="1164">
        <v>651</v>
      </c>
    </row>
    <row r="199" spans="1:8" ht="33.75" customHeight="1" thickBot="1">
      <c r="A199" s="547" t="s">
        <v>762</v>
      </c>
      <c r="B199" s="547" t="s">
        <v>33</v>
      </c>
      <c r="C199" s="547" t="s">
        <v>33</v>
      </c>
      <c r="D199" s="547" t="s">
        <v>36</v>
      </c>
      <c r="E199" s="1173" t="s">
        <v>761</v>
      </c>
      <c r="F199" s="1185">
        <v>51501</v>
      </c>
      <c r="G199" s="1139" t="s">
        <v>505</v>
      </c>
      <c r="H199" s="1164">
        <v>630</v>
      </c>
    </row>
    <row r="200" spans="1:8" ht="29.25" thickBot="1">
      <c r="A200" s="989" t="s">
        <v>762</v>
      </c>
      <c r="B200" s="989" t="s">
        <v>33</v>
      </c>
      <c r="C200" s="989" t="s">
        <v>33</v>
      </c>
      <c r="D200" s="989" t="s">
        <v>36</v>
      </c>
      <c r="E200" s="1174" t="s">
        <v>761</v>
      </c>
      <c r="F200" s="1186">
        <v>54101</v>
      </c>
      <c r="G200" s="1139" t="s">
        <v>506</v>
      </c>
      <c r="H200" s="1164">
        <v>1000</v>
      </c>
    </row>
    <row r="201" spans="1:8" ht="31.5" customHeight="1" thickBot="1">
      <c r="A201" s="989" t="s">
        <v>762</v>
      </c>
      <c r="B201" s="989" t="s">
        <v>33</v>
      </c>
      <c r="C201" s="989" t="s">
        <v>33</v>
      </c>
      <c r="D201" s="989" t="s">
        <v>36</v>
      </c>
      <c r="E201" s="1174" t="s">
        <v>761</v>
      </c>
      <c r="F201" s="1187">
        <v>54107</v>
      </c>
      <c r="G201" s="1139" t="s">
        <v>927</v>
      </c>
      <c r="H201" s="1164">
        <v>500</v>
      </c>
    </row>
    <row r="202" spans="1:8" ht="31.5" customHeight="1" thickBot="1">
      <c r="A202" s="989" t="s">
        <v>762</v>
      </c>
      <c r="B202" s="989" t="s">
        <v>33</v>
      </c>
      <c r="C202" s="989" t="s">
        <v>33</v>
      </c>
      <c r="D202" s="989" t="s">
        <v>36</v>
      </c>
      <c r="E202" s="1174" t="s">
        <v>761</v>
      </c>
      <c r="F202" s="1187">
        <v>54111</v>
      </c>
      <c r="G202" s="1139" t="s">
        <v>748</v>
      </c>
      <c r="H202" s="1164">
        <v>1000</v>
      </c>
    </row>
    <row r="203" spans="1:8" ht="28.5" customHeight="1" thickBot="1">
      <c r="A203" s="989" t="s">
        <v>762</v>
      </c>
      <c r="B203" s="989" t="s">
        <v>33</v>
      </c>
      <c r="C203" s="989" t="s">
        <v>33</v>
      </c>
      <c r="D203" s="989" t="s">
        <v>36</v>
      </c>
      <c r="E203" s="1174" t="s">
        <v>761</v>
      </c>
      <c r="F203" s="1187">
        <v>54112</v>
      </c>
      <c r="G203" s="1139" t="s">
        <v>542</v>
      </c>
      <c r="H203" s="1164">
        <v>1000</v>
      </c>
    </row>
    <row r="204" spans="1:8" ht="15" thickBot="1">
      <c r="A204" s="541" t="s">
        <v>762</v>
      </c>
      <c r="B204" s="542" t="s">
        <v>33</v>
      </c>
      <c r="C204" s="542" t="s">
        <v>33</v>
      </c>
      <c r="D204" s="542" t="s">
        <v>36</v>
      </c>
      <c r="E204" s="1180" t="s">
        <v>761</v>
      </c>
      <c r="F204" s="1183">
        <v>55603</v>
      </c>
      <c r="G204" s="1139" t="s">
        <v>990</v>
      </c>
      <c r="H204" s="1162">
        <v>50</v>
      </c>
    </row>
    <row r="205" spans="1:8" ht="20.45" customHeight="1" thickBot="1">
      <c r="A205" s="1158" t="s">
        <v>762</v>
      </c>
      <c r="B205" s="1158" t="s">
        <v>33</v>
      </c>
      <c r="C205" s="1158" t="s">
        <v>33</v>
      </c>
      <c r="D205" s="1158" t="s">
        <v>36</v>
      </c>
      <c r="E205" s="1181" t="s">
        <v>761</v>
      </c>
      <c r="F205" s="1188">
        <v>56304</v>
      </c>
      <c r="G205" s="1139" t="s">
        <v>545</v>
      </c>
      <c r="H205" s="1164">
        <v>800</v>
      </c>
    </row>
    <row r="206" spans="1:8" s="538" customFormat="1" ht="27" customHeight="1" thickBot="1">
      <c r="A206" s="1760" t="s">
        <v>165</v>
      </c>
      <c r="B206" s="1761"/>
      <c r="C206" s="1761"/>
      <c r="D206" s="1761"/>
      <c r="E206" s="1761"/>
      <c r="F206" s="1762"/>
      <c r="G206" s="1150"/>
      <c r="H206" s="1157">
        <f>SUM(H195:H205)</f>
        <v>11931</v>
      </c>
    </row>
    <row r="207" spans="1:8" s="538" customFormat="1" ht="18" customHeight="1" thickBot="1">
      <c r="A207" s="892"/>
      <c r="B207" s="892"/>
      <c r="C207" s="893"/>
      <c r="D207" s="894"/>
      <c r="E207" s="894"/>
      <c r="F207" s="911"/>
      <c r="G207" s="895"/>
      <c r="H207" s="896"/>
    </row>
    <row r="208" spans="1:8" s="538" customFormat="1" ht="30" customHeight="1">
      <c r="A208" s="1771" t="s">
        <v>521</v>
      </c>
      <c r="B208" s="1772"/>
      <c r="C208" s="1772"/>
      <c r="D208" s="1772"/>
      <c r="E208" s="1772"/>
      <c r="F208" s="1773"/>
      <c r="G208" s="1774" t="s">
        <v>1008</v>
      </c>
      <c r="H208" s="1775"/>
    </row>
    <row r="209" spans="1:9" s="538" customFormat="1" ht="28.15" customHeight="1">
      <c r="A209" s="1810" t="s">
        <v>743</v>
      </c>
      <c r="B209" s="1860"/>
      <c r="C209" s="1860"/>
      <c r="D209" s="1860"/>
      <c r="E209" s="1860"/>
      <c r="F209" s="1861"/>
      <c r="G209" s="1810" t="s">
        <v>839</v>
      </c>
      <c r="H209" s="1812"/>
    </row>
    <row r="210" spans="1:9" ht="43.5" customHeight="1">
      <c r="A210" s="1753" t="s">
        <v>894</v>
      </c>
      <c r="B210" s="1828"/>
      <c r="C210" s="1828"/>
      <c r="D210" s="1828"/>
      <c r="E210" s="1828"/>
      <c r="F210" s="1829"/>
      <c r="G210" s="957" t="s">
        <v>522</v>
      </c>
      <c r="H210" s="958"/>
    </row>
    <row r="211" spans="1:9" ht="30" customHeight="1" thickBot="1">
      <c r="A211" s="1779" t="s">
        <v>865</v>
      </c>
      <c r="B211" s="1837"/>
      <c r="C211" s="1837"/>
      <c r="D211" s="1837"/>
      <c r="E211" s="1837"/>
      <c r="F211" s="1838"/>
      <c r="G211" s="1782" t="s">
        <v>523</v>
      </c>
      <c r="H211" s="1781"/>
    </row>
    <row r="212" spans="1:9" ht="12" customHeight="1">
      <c r="A212" s="892"/>
      <c r="B212" s="903"/>
      <c r="C212" s="904"/>
      <c r="D212" s="905"/>
      <c r="E212" s="905"/>
      <c r="F212" s="906"/>
      <c r="G212" s="895"/>
      <c r="H212" s="896"/>
    </row>
    <row r="213" spans="1:9" s="414" customFormat="1" ht="31.5" customHeight="1">
      <c r="A213" s="1759" t="s">
        <v>897</v>
      </c>
      <c r="B213" s="1759"/>
      <c r="C213" s="1759"/>
      <c r="D213" s="1759"/>
      <c r="E213" s="1759"/>
      <c r="F213" s="1759"/>
      <c r="G213" s="1759"/>
      <c r="H213" s="1759"/>
    </row>
    <row r="214" spans="1:9" ht="17.25" customHeight="1">
      <c r="A214" s="953"/>
      <c r="B214" s="953"/>
      <c r="C214" s="953"/>
      <c r="D214" s="953"/>
      <c r="E214" s="953"/>
      <c r="F214" s="911"/>
      <c r="G214" s="953"/>
      <c r="H214" s="940"/>
    </row>
    <row r="215" spans="1:9" ht="36.6" customHeight="1">
      <c r="A215" s="954"/>
      <c r="B215" s="954"/>
      <c r="C215" s="954"/>
      <c r="D215" s="954"/>
      <c r="E215" s="954"/>
      <c r="F215" s="955"/>
      <c r="G215" s="954"/>
      <c r="H215" s="956"/>
    </row>
    <row r="216" spans="1:9" s="414" customFormat="1" ht="36.6" customHeight="1">
      <c r="A216" s="1052"/>
      <c r="B216" s="1052"/>
      <c r="C216" s="1052"/>
      <c r="D216" s="1052"/>
      <c r="E216" s="1052"/>
      <c r="F216" s="1053"/>
      <c r="G216" s="1052"/>
      <c r="H216" s="1054"/>
    </row>
    <row r="217" spans="1:9" ht="18">
      <c r="A217" s="1751" t="s">
        <v>79</v>
      </c>
      <c r="B217" s="1751"/>
      <c r="C217" s="1751"/>
      <c r="D217" s="1751"/>
      <c r="E217" s="1751"/>
      <c r="F217" s="1751"/>
      <c r="G217" s="1751"/>
      <c r="H217" s="1751"/>
      <c r="I217" s="1869">
        <v>7</v>
      </c>
    </row>
    <row r="218" spans="1:9" s="414" customFormat="1" ht="18">
      <c r="A218" s="1751" t="s">
        <v>78</v>
      </c>
      <c r="B218" s="1751"/>
      <c r="C218" s="1751"/>
      <c r="D218" s="1751"/>
      <c r="E218" s="1751"/>
      <c r="F218" s="1751"/>
      <c r="G218" s="1751"/>
      <c r="H218" s="1751"/>
      <c r="I218" s="1869"/>
    </row>
    <row r="219" spans="1:9" ht="18">
      <c r="A219" s="1776" t="s">
        <v>174</v>
      </c>
      <c r="B219" s="1776"/>
      <c r="C219" s="1776"/>
      <c r="D219" s="1776"/>
      <c r="E219" s="1776"/>
      <c r="F219" s="1776"/>
      <c r="G219" s="1776"/>
      <c r="H219" s="1776"/>
    </row>
    <row r="220" spans="1:9" ht="18">
      <c r="A220" s="1776" t="s">
        <v>928</v>
      </c>
      <c r="B220" s="1776"/>
      <c r="C220" s="1776"/>
      <c r="D220" s="1776"/>
      <c r="E220" s="1776"/>
      <c r="F220" s="1776"/>
      <c r="G220" s="1776"/>
      <c r="H220" s="1776"/>
    </row>
    <row r="221" spans="1:9" ht="18">
      <c r="A221" s="1776" t="s">
        <v>790</v>
      </c>
      <c r="B221" s="1776"/>
      <c r="C221" s="1776"/>
      <c r="D221" s="1776"/>
      <c r="E221" s="1776"/>
      <c r="F221" s="1776"/>
      <c r="G221" s="1776"/>
      <c r="H221" s="1776"/>
    </row>
    <row r="222" spans="1:9" ht="18" customHeight="1">
      <c r="A222" s="959"/>
      <c r="B222" s="942"/>
      <c r="C222" s="943"/>
      <c r="D222" s="944"/>
      <c r="E222" s="944"/>
      <c r="F222" s="918"/>
      <c r="G222" s="917"/>
      <c r="H222" s="945"/>
    </row>
    <row r="223" spans="1:9" ht="26.25" customHeight="1">
      <c r="A223" s="1797" t="s">
        <v>840</v>
      </c>
      <c r="B223" s="1797"/>
      <c r="C223" s="1797"/>
      <c r="D223" s="1797"/>
      <c r="E223" s="1797"/>
      <c r="F223" s="1797"/>
      <c r="G223" s="1797"/>
      <c r="H223" s="1797"/>
    </row>
    <row r="224" spans="1:9" ht="27" customHeight="1" thickBot="1">
      <c r="A224" s="1798" t="s">
        <v>872</v>
      </c>
      <c r="B224" s="1799"/>
      <c r="C224" s="1799"/>
      <c r="D224" s="1799"/>
      <c r="E224" s="1799"/>
      <c r="F224" s="1799"/>
      <c r="G224" s="1800"/>
      <c r="H224" s="1799"/>
    </row>
    <row r="225" spans="1:8" ht="13.5" thickBot="1">
      <c r="A225" s="1765" t="s">
        <v>8</v>
      </c>
      <c r="B225" s="1766"/>
      <c r="C225" s="1766"/>
      <c r="D225" s="1766"/>
      <c r="E225" s="1766"/>
      <c r="F225" s="1767"/>
      <c r="G225" s="1801" t="s">
        <v>501</v>
      </c>
      <c r="H225" s="1770" t="s">
        <v>500</v>
      </c>
    </row>
    <row r="226" spans="1:8" ht="40.15" customHeight="1" thickBot="1">
      <c r="A226" s="907" t="s">
        <v>796</v>
      </c>
      <c r="B226" s="908" t="s">
        <v>179</v>
      </c>
      <c r="C226" s="908" t="s">
        <v>797</v>
      </c>
      <c r="D226" s="908" t="s">
        <v>21</v>
      </c>
      <c r="E226" s="909" t="s">
        <v>803</v>
      </c>
      <c r="F226" s="910" t="s">
        <v>19</v>
      </c>
      <c r="G226" s="1769"/>
      <c r="H226" s="1770"/>
    </row>
    <row r="227" spans="1:8" ht="15.75" thickBot="1">
      <c r="A227" s="539" t="s">
        <v>762</v>
      </c>
      <c r="B227" s="540" t="s">
        <v>33</v>
      </c>
      <c r="C227" s="540" t="s">
        <v>33</v>
      </c>
      <c r="D227" s="540" t="s">
        <v>36</v>
      </c>
      <c r="E227" s="1189" t="s">
        <v>761</v>
      </c>
      <c r="F227" s="1044" t="s">
        <v>173</v>
      </c>
      <c r="G227" s="1201" t="s">
        <v>526</v>
      </c>
      <c r="H227" s="1163">
        <v>2200</v>
      </c>
    </row>
    <row r="228" spans="1:8" ht="29.25" thickBot="1">
      <c r="A228" s="539" t="s">
        <v>762</v>
      </c>
      <c r="B228" s="540" t="s">
        <v>33</v>
      </c>
      <c r="C228" s="540" t="s">
        <v>33</v>
      </c>
      <c r="D228" s="540" t="s">
        <v>36</v>
      </c>
      <c r="E228" s="1189" t="s">
        <v>761</v>
      </c>
      <c r="F228" s="1045" t="s">
        <v>425</v>
      </c>
      <c r="G228" s="1139" t="s">
        <v>506</v>
      </c>
      <c r="H228" s="1163">
        <v>2500</v>
      </c>
    </row>
    <row r="229" spans="1:8" ht="15.75" thickBot="1">
      <c r="A229" s="539" t="s">
        <v>762</v>
      </c>
      <c r="B229" s="540" t="s">
        <v>33</v>
      </c>
      <c r="C229" s="540" t="s">
        <v>33</v>
      </c>
      <c r="D229" s="540" t="s">
        <v>36</v>
      </c>
      <c r="E229" s="1189" t="s">
        <v>761</v>
      </c>
      <c r="F229" s="1045" t="s">
        <v>407</v>
      </c>
      <c r="G229" s="1139" t="s">
        <v>1080</v>
      </c>
      <c r="H229" s="1163">
        <v>750</v>
      </c>
    </row>
    <row r="230" spans="1:8" ht="15.75" thickBot="1">
      <c r="A230" s="539" t="s">
        <v>762</v>
      </c>
      <c r="B230" s="540" t="s">
        <v>33</v>
      </c>
      <c r="C230" s="540" t="s">
        <v>33</v>
      </c>
      <c r="D230" s="540" t="s">
        <v>36</v>
      </c>
      <c r="E230" s="1189" t="s">
        <v>761</v>
      </c>
      <c r="F230" s="1191" t="s">
        <v>518</v>
      </c>
      <c r="G230" s="1139" t="s">
        <v>540</v>
      </c>
      <c r="H230" s="1163">
        <v>1000</v>
      </c>
    </row>
    <row r="231" spans="1:8" ht="15.75" thickBot="1">
      <c r="A231" s="541" t="s">
        <v>762</v>
      </c>
      <c r="B231" s="542" t="s">
        <v>33</v>
      </c>
      <c r="C231" s="542" t="s">
        <v>33</v>
      </c>
      <c r="D231" s="542" t="s">
        <v>36</v>
      </c>
      <c r="E231" s="1180" t="s">
        <v>761</v>
      </c>
      <c r="F231" s="1045">
        <v>55603</v>
      </c>
      <c r="G231" s="1139" t="s">
        <v>990</v>
      </c>
      <c r="H231" s="1163">
        <v>50</v>
      </c>
    </row>
    <row r="232" spans="1:8" ht="15.75" thickBot="1">
      <c r="A232" s="1115" t="s">
        <v>762</v>
      </c>
      <c r="B232" s="1116" t="s">
        <v>33</v>
      </c>
      <c r="C232" s="1116" t="s">
        <v>33</v>
      </c>
      <c r="D232" s="1116" t="s">
        <v>36</v>
      </c>
      <c r="E232" s="1190" t="s">
        <v>761</v>
      </c>
      <c r="F232" s="1192" t="s">
        <v>311</v>
      </c>
      <c r="G232" s="1139" t="s">
        <v>744</v>
      </c>
      <c r="H232" s="1163">
        <v>4000</v>
      </c>
    </row>
    <row r="233" spans="1:8" ht="16.5" thickBot="1">
      <c r="A233" s="1785" t="s">
        <v>165</v>
      </c>
      <c r="B233" s="1786"/>
      <c r="C233" s="1786"/>
      <c r="D233" s="1786"/>
      <c r="E233" s="1786"/>
      <c r="F233" s="1787"/>
      <c r="G233" s="1152"/>
      <c r="H233" s="1301">
        <f>SUM(H227:H232)</f>
        <v>10500</v>
      </c>
    </row>
    <row r="234" spans="1:8" ht="13.5" thickBot="1">
      <c r="A234" s="913"/>
      <c r="B234" s="913"/>
      <c r="C234" s="914"/>
      <c r="D234" s="915"/>
      <c r="E234" s="915"/>
      <c r="F234" s="916"/>
      <c r="H234" s="912"/>
    </row>
    <row r="235" spans="1:8" ht="25.5" customHeight="1">
      <c r="A235" s="1791" t="s">
        <v>837</v>
      </c>
      <c r="B235" s="1792"/>
      <c r="C235" s="1792"/>
      <c r="D235" s="1792"/>
      <c r="E235" s="1792"/>
      <c r="F235" s="1793"/>
      <c r="G235" s="1794" t="s">
        <v>930</v>
      </c>
      <c r="H235" s="1795"/>
    </row>
    <row r="236" spans="1:8" ht="30" customHeight="1">
      <c r="A236" s="1848" t="s">
        <v>873</v>
      </c>
      <c r="B236" s="1867"/>
      <c r="C236" s="1867"/>
      <c r="D236" s="1867"/>
      <c r="E236" s="1867"/>
      <c r="F236" s="1868"/>
      <c r="G236" s="1848" t="s">
        <v>839</v>
      </c>
      <c r="H236" s="1755"/>
    </row>
    <row r="237" spans="1:8" ht="44.25" customHeight="1">
      <c r="A237" s="1848" t="s">
        <v>895</v>
      </c>
      <c r="B237" s="1867"/>
      <c r="C237" s="1867"/>
      <c r="D237" s="1867"/>
      <c r="E237" s="1867"/>
      <c r="F237" s="1868"/>
      <c r="G237" s="1862" t="s">
        <v>522</v>
      </c>
      <c r="H237" s="1755"/>
    </row>
    <row r="238" spans="1:8" ht="31.15" customHeight="1" thickBot="1">
      <c r="A238" s="1863" t="s">
        <v>864</v>
      </c>
      <c r="B238" s="1864"/>
      <c r="C238" s="1864"/>
      <c r="D238" s="1864"/>
      <c r="E238" s="1864"/>
      <c r="F238" s="1865"/>
      <c r="G238" s="1866" t="s">
        <v>523</v>
      </c>
      <c r="H238" s="1781"/>
    </row>
    <row r="239" spans="1:8">
      <c r="A239" s="913"/>
      <c r="B239" s="960"/>
      <c r="C239" s="961"/>
      <c r="D239" s="672"/>
      <c r="E239" s="672"/>
      <c r="H239" s="912"/>
    </row>
    <row r="240" spans="1:8" ht="36" customHeight="1">
      <c r="A240" s="1759" t="s">
        <v>897</v>
      </c>
      <c r="B240" s="1759"/>
      <c r="C240" s="1759"/>
      <c r="D240" s="1759"/>
      <c r="E240" s="1759"/>
      <c r="F240" s="1759"/>
      <c r="G240" s="1759"/>
      <c r="H240" s="1759"/>
    </row>
    <row r="241" spans="1:9" ht="18">
      <c r="A241" s="964"/>
      <c r="B241" s="964"/>
      <c r="C241" s="964"/>
      <c r="D241" s="964"/>
      <c r="E241" s="964"/>
      <c r="F241" s="950"/>
      <c r="G241" s="964"/>
      <c r="H241" s="964"/>
    </row>
    <row r="242" spans="1:9" ht="18">
      <c r="A242" s="962"/>
      <c r="B242" s="962"/>
      <c r="C242" s="962"/>
      <c r="D242" s="962"/>
      <c r="E242" s="962"/>
      <c r="F242" s="963"/>
      <c r="G242" s="962"/>
      <c r="H242" s="962"/>
    </row>
    <row r="243" spans="1:9" s="538" customFormat="1">
      <c r="A243" s="892"/>
      <c r="B243" s="903"/>
      <c r="C243" s="904"/>
      <c r="D243" s="905"/>
      <c r="E243" s="905"/>
      <c r="F243" s="906"/>
      <c r="G243" s="895"/>
      <c r="H243" s="896"/>
      <c r="I243" s="1869">
        <v>8</v>
      </c>
    </row>
    <row r="244" spans="1:9" s="538" customFormat="1" ht="18">
      <c r="A244" s="1802" t="s">
        <v>79</v>
      </c>
      <c r="B244" s="1557"/>
      <c r="C244" s="1557"/>
      <c r="D244" s="1557"/>
      <c r="E244" s="1557"/>
      <c r="F244" s="1557"/>
      <c r="G244" s="1557"/>
      <c r="H244" s="1557"/>
      <c r="I244" s="1869"/>
    </row>
    <row r="245" spans="1:9" ht="18">
      <c r="A245" s="1802" t="s">
        <v>537</v>
      </c>
      <c r="B245" s="1557"/>
      <c r="C245" s="1557"/>
      <c r="D245" s="1557"/>
      <c r="E245" s="1557"/>
      <c r="F245" s="1557"/>
      <c r="G245" s="1557"/>
      <c r="H245" s="1557"/>
    </row>
    <row r="246" spans="1:9" ht="18">
      <c r="A246" s="1752" t="s">
        <v>174</v>
      </c>
      <c r="B246" s="1557"/>
      <c r="C246" s="1557"/>
      <c r="D246" s="1557"/>
      <c r="E246" s="1557"/>
      <c r="F246" s="1557"/>
      <c r="G246" s="1557"/>
      <c r="H246" s="1557"/>
    </row>
    <row r="247" spans="1:9" ht="18">
      <c r="A247" s="1752" t="s">
        <v>928</v>
      </c>
      <c r="B247" s="1557"/>
      <c r="C247" s="1557"/>
      <c r="D247" s="1557"/>
      <c r="E247" s="1557"/>
      <c r="F247" s="1557"/>
      <c r="G247" s="1557"/>
      <c r="H247" s="1557"/>
    </row>
    <row r="248" spans="1:9" s="414" customFormat="1" ht="18">
      <c r="A248" s="1752" t="s">
        <v>790</v>
      </c>
      <c r="B248" s="1557"/>
      <c r="C248" s="1557"/>
      <c r="D248" s="1557"/>
      <c r="E248" s="1557"/>
      <c r="F248" s="1557"/>
      <c r="G248" s="1557"/>
      <c r="H248" s="1557"/>
    </row>
    <row r="249" spans="1:9">
      <c r="A249" s="902"/>
      <c r="B249" s="903"/>
      <c r="C249" s="904"/>
      <c r="D249" s="905"/>
      <c r="E249" s="905"/>
      <c r="F249" s="906"/>
      <c r="G249" s="895"/>
      <c r="H249" s="896"/>
    </row>
    <row r="250" spans="1:9" ht="18">
      <c r="A250" s="1859" t="s">
        <v>840</v>
      </c>
      <c r="B250" s="1859"/>
      <c r="C250" s="1859"/>
      <c r="D250" s="1859"/>
      <c r="E250" s="1859"/>
      <c r="F250" s="1859"/>
      <c r="G250" s="1859"/>
      <c r="H250" s="1859"/>
    </row>
    <row r="251" spans="1:9" ht="26.25" customHeight="1" thickBot="1">
      <c r="A251" s="1798" t="s">
        <v>874</v>
      </c>
      <c r="B251" s="1799"/>
      <c r="C251" s="1799"/>
      <c r="D251" s="1799"/>
      <c r="E251" s="1799"/>
      <c r="F251" s="1799"/>
      <c r="G251" s="1799"/>
      <c r="H251" s="1799"/>
    </row>
    <row r="252" spans="1:9" ht="13.5" thickBot="1">
      <c r="A252" s="1841" t="s">
        <v>8</v>
      </c>
      <c r="B252" s="1842"/>
      <c r="C252" s="1842"/>
      <c r="D252" s="1842"/>
      <c r="E252" s="1842"/>
      <c r="F252" s="1843"/>
      <c r="G252" s="1801" t="s">
        <v>501</v>
      </c>
      <c r="H252" s="1858" t="s">
        <v>500</v>
      </c>
    </row>
    <row r="253" spans="1:9" ht="48.75" thickBot="1">
      <c r="A253" s="907" t="s">
        <v>796</v>
      </c>
      <c r="B253" s="908" t="s">
        <v>179</v>
      </c>
      <c r="C253" s="908" t="s">
        <v>797</v>
      </c>
      <c r="D253" s="908" t="s">
        <v>21</v>
      </c>
      <c r="E253" s="909" t="s">
        <v>803</v>
      </c>
      <c r="F253" s="910" t="s">
        <v>19</v>
      </c>
      <c r="G253" s="1769"/>
      <c r="H253" s="1817"/>
    </row>
    <row r="254" spans="1:9" ht="15" thickBot="1">
      <c r="A254" s="545" t="s">
        <v>762</v>
      </c>
      <c r="B254" s="546" t="s">
        <v>33</v>
      </c>
      <c r="C254" s="546" t="s">
        <v>33</v>
      </c>
      <c r="D254" s="546" t="s">
        <v>36</v>
      </c>
      <c r="E254" s="1193" t="s">
        <v>761</v>
      </c>
      <c r="F254" s="1195">
        <v>51202</v>
      </c>
      <c r="G254" s="1139" t="s">
        <v>538</v>
      </c>
      <c r="H254" s="1135">
        <v>5000</v>
      </c>
    </row>
    <row r="255" spans="1:9" ht="15" thickBot="1">
      <c r="A255" s="545" t="s">
        <v>762</v>
      </c>
      <c r="B255" s="546" t="s">
        <v>33</v>
      </c>
      <c r="C255" s="546" t="s">
        <v>33</v>
      </c>
      <c r="D255" s="546" t="s">
        <v>36</v>
      </c>
      <c r="E255" s="1193" t="s">
        <v>761</v>
      </c>
      <c r="F255" s="1187">
        <v>54107</v>
      </c>
      <c r="G255" s="1139" t="s">
        <v>740</v>
      </c>
      <c r="H255" s="1135">
        <v>900</v>
      </c>
    </row>
    <row r="256" spans="1:9" ht="29.25" thickBot="1">
      <c r="A256" s="545" t="s">
        <v>762</v>
      </c>
      <c r="B256" s="546" t="s">
        <v>33</v>
      </c>
      <c r="C256" s="546" t="s">
        <v>33</v>
      </c>
      <c r="D256" s="546" t="s">
        <v>36</v>
      </c>
      <c r="E256" s="1193" t="s">
        <v>761</v>
      </c>
      <c r="F256" s="1187">
        <v>54111</v>
      </c>
      <c r="G256" s="1139" t="s">
        <v>541</v>
      </c>
      <c r="H256" s="1135">
        <v>3000</v>
      </c>
    </row>
    <row r="257" spans="1:8" ht="29.25" thickBot="1">
      <c r="A257" s="545" t="s">
        <v>762</v>
      </c>
      <c r="B257" s="546" t="s">
        <v>33</v>
      </c>
      <c r="C257" s="546" t="s">
        <v>33</v>
      </c>
      <c r="D257" s="546" t="s">
        <v>36</v>
      </c>
      <c r="E257" s="1193" t="s">
        <v>761</v>
      </c>
      <c r="F257" s="1187">
        <v>54118</v>
      </c>
      <c r="G257" s="1139" t="s">
        <v>531</v>
      </c>
      <c r="H257" s="1135">
        <v>1500</v>
      </c>
    </row>
    <row r="258" spans="1:8" ht="29.25" thickBot="1">
      <c r="A258" s="545" t="s">
        <v>762</v>
      </c>
      <c r="B258" s="546" t="s">
        <v>33</v>
      </c>
      <c r="C258" s="546" t="s">
        <v>33</v>
      </c>
      <c r="D258" s="546" t="s">
        <v>36</v>
      </c>
      <c r="E258" s="1193" t="s">
        <v>761</v>
      </c>
      <c r="F258" s="1187" t="s">
        <v>518</v>
      </c>
      <c r="G258" s="1139" t="s">
        <v>519</v>
      </c>
      <c r="H258" s="1135">
        <v>1600</v>
      </c>
    </row>
    <row r="259" spans="1:8" ht="29.25" thickBot="1">
      <c r="A259" s="545" t="s">
        <v>762</v>
      </c>
      <c r="B259" s="546" t="s">
        <v>33</v>
      </c>
      <c r="C259" s="546" t="s">
        <v>33</v>
      </c>
      <c r="D259" s="546" t="s">
        <v>36</v>
      </c>
      <c r="E259" s="1193" t="s">
        <v>761</v>
      </c>
      <c r="F259" s="1196">
        <v>54316</v>
      </c>
      <c r="G259" s="1139" t="s">
        <v>543</v>
      </c>
      <c r="H259" s="1135">
        <v>5000</v>
      </c>
    </row>
    <row r="260" spans="1:8" ht="15" thickBot="1">
      <c r="A260" s="541" t="s">
        <v>762</v>
      </c>
      <c r="B260" s="542" t="s">
        <v>33</v>
      </c>
      <c r="C260" s="542" t="s">
        <v>33</v>
      </c>
      <c r="D260" s="542" t="s">
        <v>36</v>
      </c>
      <c r="E260" s="1180" t="s">
        <v>761</v>
      </c>
      <c r="F260" s="1183">
        <v>55603</v>
      </c>
      <c r="G260" s="1139" t="s">
        <v>990</v>
      </c>
      <c r="H260" s="1162">
        <v>50</v>
      </c>
    </row>
    <row r="261" spans="1:8" ht="29.25" thickBot="1">
      <c r="A261" s="1160" t="s">
        <v>762</v>
      </c>
      <c r="B261" s="1161" t="s">
        <v>33</v>
      </c>
      <c r="C261" s="1161" t="s">
        <v>33</v>
      </c>
      <c r="D261" s="1161" t="s">
        <v>36</v>
      </c>
      <c r="E261" s="1194" t="s">
        <v>761</v>
      </c>
      <c r="F261" s="1197">
        <v>61109</v>
      </c>
      <c r="G261" s="1139" t="s">
        <v>875</v>
      </c>
      <c r="H261" s="1135">
        <v>4000</v>
      </c>
    </row>
    <row r="262" spans="1:8" ht="15.75" thickBot="1">
      <c r="A262" s="1785" t="s">
        <v>165</v>
      </c>
      <c r="B262" s="1786"/>
      <c r="C262" s="1786"/>
      <c r="D262" s="1786"/>
      <c r="E262" s="1786"/>
      <c r="F262" s="1787"/>
      <c r="G262" s="1152"/>
      <c r="H262" s="1159">
        <f>SUM(H254:H261)</f>
        <v>21050</v>
      </c>
    </row>
    <row r="263" spans="1:8" ht="13.5" thickBot="1">
      <c r="A263" s="892"/>
      <c r="B263" s="892"/>
      <c r="C263" s="893"/>
      <c r="D263" s="894"/>
      <c r="E263" s="894"/>
      <c r="F263" s="911"/>
      <c r="G263" s="895"/>
      <c r="H263" s="896"/>
    </row>
    <row r="264" spans="1:8" ht="27.75" customHeight="1">
      <c r="A264" s="1791" t="s">
        <v>849</v>
      </c>
      <c r="B264" s="1844"/>
      <c r="C264" s="1844"/>
      <c r="D264" s="1844"/>
      <c r="E264" s="1844"/>
      <c r="F264" s="1844"/>
      <c r="G264" s="1819" t="s">
        <v>1025</v>
      </c>
      <c r="H264" s="1820"/>
    </row>
    <row r="265" spans="1:8" s="1200" customFormat="1" ht="30.75" customHeight="1">
      <c r="A265" s="1845" t="s">
        <v>876</v>
      </c>
      <c r="B265" s="1846"/>
      <c r="C265" s="1846"/>
      <c r="D265" s="1846"/>
      <c r="E265" s="1846"/>
      <c r="F265" s="1847"/>
      <c r="G265" s="1848" t="s">
        <v>863</v>
      </c>
      <c r="H265" s="1755"/>
    </row>
    <row r="266" spans="1:8">
      <c r="A266" s="1849" t="s">
        <v>896</v>
      </c>
      <c r="B266" s="1850"/>
      <c r="C266" s="1850"/>
      <c r="D266" s="1850"/>
      <c r="E266" s="1850"/>
      <c r="F266" s="1851"/>
      <c r="G266" s="1855" t="s">
        <v>522</v>
      </c>
      <c r="H266" s="1856"/>
    </row>
    <row r="267" spans="1:8" ht="32.25" customHeight="1">
      <c r="A267" s="1852"/>
      <c r="B267" s="1853"/>
      <c r="C267" s="1853"/>
      <c r="D267" s="1853"/>
      <c r="E267" s="1853"/>
      <c r="F267" s="1854"/>
      <c r="G267" s="1796"/>
      <c r="H267" s="1857"/>
    </row>
    <row r="268" spans="1:8" s="538" customFormat="1" ht="27.75" customHeight="1" thickBot="1">
      <c r="A268" s="1779" t="s">
        <v>884</v>
      </c>
      <c r="B268" s="1780"/>
      <c r="C268" s="1780"/>
      <c r="D268" s="1780"/>
      <c r="E268" s="1780"/>
      <c r="F268" s="1781"/>
      <c r="G268" s="1782" t="s">
        <v>523</v>
      </c>
      <c r="H268" s="1781"/>
    </row>
    <row r="269" spans="1:8" s="538" customFormat="1" ht="27.75" customHeight="1">
      <c r="A269" s="1292"/>
      <c r="B269" s="1293"/>
      <c r="C269" s="1293"/>
      <c r="D269" s="1293"/>
      <c r="E269" s="1293"/>
      <c r="F269" s="1293"/>
      <c r="G269" s="1294"/>
      <c r="H269" s="1293"/>
    </row>
    <row r="270" spans="1:8" ht="41.25" customHeight="1">
      <c r="A270" s="1759" t="s">
        <v>897</v>
      </c>
      <c r="B270" s="1759"/>
      <c r="C270" s="1759"/>
      <c r="D270" s="1759"/>
      <c r="E270" s="1759"/>
      <c r="F270" s="1759"/>
      <c r="G270" s="1759"/>
      <c r="H270" s="1759"/>
    </row>
    <row r="271" spans="1:8">
      <c r="A271" s="892"/>
      <c r="B271" s="903"/>
      <c r="C271" s="904"/>
      <c r="D271" s="905"/>
      <c r="E271" s="905"/>
      <c r="F271" s="906"/>
      <c r="G271" s="895"/>
      <c r="H271" s="896"/>
    </row>
    <row r="272" spans="1:8" s="997" customFormat="1">
      <c r="A272" s="1226"/>
      <c r="B272" s="1226"/>
      <c r="C272" s="1226"/>
      <c r="D272" s="1226"/>
      <c r="E272" s="1226"/>
      <c r="F272" s="1227"/>
      <c r="G272" s="1226"/>
      <c r="H272" s="1226"/>
    </row>
  </sheetData>
  <mergeCells count="193">
    <mergeCell ref="I124:I125"/>
    <mergeCell ref="I153:I154"/>
    <mergeCell ref="I185:I186"/>
    <mergeCell ref="I217:I218"/>
    <mergeCell ref="I243:I244"/>
    <mergeCell ref="I1:I2"/>
    <mergeCell ref="I59:I61"/>
    <mergeCell ref="I100:I101"/>
    <mergeCell ref="A247:H247"/>
    <mergeCell ref="G208:H208"/>
    <mergeCell ref="A206:F206"/>
    <mergeCell ref="A177:F177"/>
    <mergeCell ref="G177:H177"/>
    <mergeCell ref="A178:F178"/>
    <mergeCell ref="G178:H178"/>
    <mergeCell ref="A179:F179"/>
    <mergeCell ref="G179:H179"/>
    <mergeCell ref="A181:H181"/>
    <mergeCell ref="A185:H185"/>
    <mergeCell ref="A186:H186"/>
    <mergeCell ref="A193:F193"/>
    <mergeCell ref="G193:G194"/>
    <mergeCell ref="H193:H194"/>
    <mergeCell ref="A208:F208"/>
    <mergeCell ref="A248:H248"/>
    <mergeCell ref="A250:H250"/>
    <mergeCell ref="A244:H244"/>
    <mergeCell ref="A245:H245"/>
    <mergeCell ref="A246:H246"/>
    <mergeCell ref="A268:F268"/>
    <mergeCell ref="G268:H268"/>
    <mergeCell ref="A209:F209"/>
    <mergeCell ref="G209:H209"/>
    <mergeCell ref="A240:H240"/>
    <mergeCell ref="G237:H237"/>
    <mergeCell ref="A238:F238"/>
    <mergeCell ref="G238:H238"/>
    <mergeCell ref="A211:F211"/>
    <mergeCell ref="A213:H213"/>
    <mergeCell ref="A210:F210"/>
    <mergeCell ref="G211:H211"/>
    <mergeCell ref="A217:H217"/>
    <mergeCell ref="A236:F236"/>
    <mergeCell ref="G236:H236"/>
    <mergeCell ref="A237:F237"/>
    <mergeCell ref="A270:H270"/>
    <mergeCell ref="A251:H251"/>
    <mergeCell ref="A252:F252"/>
    <mergeCell ref="A262:F262"/>
    <mergeCell ref="A264:F264"/>
    <mergeCell ref="G264:H264"/>
    <mergeCell ref="A265:F265"/>
    <mergeCell ref="G265:H265"/>
    <mergeCell ref="A266:F267"/>
    <mergeCell ref="G266:H267"/>
    <mergeCell ref="G252:G253"/>
    <mergeCell ref="H252:H253"/>
    <mergeCell ref="A192:H192"/>
    <mergeCell ref="A115:F115"/>
    <mergeCell ref="G115:H115"/>
    <mergeCell ref="A116:F116"/>
    <mergeCell ref="G116:H116"/>
    <mergeCell ref="A128:H128"/>
    <mergeCell ref="A130:H130"/>
    <mergeCell ref="A131:H131"/>
    <mergeCell ref="A132:F132"/>
    <mergeCell ref="G132:G133"/>
    <mergeCell ref="H132:H133"/>
    <mergeCell ref="A125:H125"/>
    <mergeCell ref="A126:H126"/>
    <mergeCell ref="A127:H127"/>
    <mergeCell ref="A149:H149"/>
    <mergeCell ref="H161:H162"/>
    <mergeCell ref="A156:H156"/>
    <mergeCell ref="A155:H155"/>
    <mergeCell ref="A154:H154"/>
    <mergeCell ref="A187:H187"/>
    <mergeCell ref="A188:H188"/>
    <mergeCell ref="A189:H189"/>
    <mergeCell ref="A191:H191"/>
    <mergeCell ref="A176:F176"/>
    <mergeCell ref="A93:E93"/>
    <mergeCell ref="A117:F117"/>
    <mergeCell ref="A147:F147"/>
    <mergeCell ref="G147:H147"/>
    <mergeCell ref="A142:F142"/>
    <mergeCell ref="A146:F146"/>
    <mergeCell ref="A144:F144"/>
    <mergeCell ref="G144:H144"/>
    <mergeCell ref="A145:F145"/>
    <mergeCell ref="G145:H145"/>
    <mergeCell ref="G146:H146"/>
    <mergeCell ref="G117:H117"/>
    <mergeCell ref="A118:F118"/>
    <mergeCell ref="G118:H118"/>
    <mergeCell ref="A100:H100"/>
    <mergeCell ref="A101:H101"/>
    <mergeCell ref="A102:H102"/>
    <mergeCell ref="A103:H103"/>
    <mergeCell ref="A104:H104"/>
    <mergeCell ref="A106:H106"/>
    <mergeCell ref="A107:H107"/>
    <mergeCell ref="A108:F108"/>
    <mergeCell ref="G176:H176"/>
    <mergeCell ref="A174:F174"/>
    <mergeCell ref="G161:G162"/>
    <mergeCell ref="A45:E45"/>
    <mergeCell ref="A27:F27"/>
    <mergeCell ref="G27:H27"/>
    <mergeCell ref="A28:F28"/>
    <mergeCell ref="G28:H28"/>
    <mergeCell ref="A31:E31"/>
    <mergeCell ref="A32:E32"/>
    <mergeCell ref="A56:H56"/>
    <mergeCell ref="A34:E34"/>
    <mergeCell ref="A33:E33"/>
    <mergeCell ref="A35:E35"/>
    <mergeCell ref="A36:E36"/>
    <mergeCell ref="A42:E42"/>
    <mergeCell ref="A43:E43"/>
    <mergeCell ref="A44:E44"/>
    <mergeCell ref="A46:E46"/>
    <mergeCell ref="A30:E30"/>
    <mergeCell ref="A40:H40"/>
    <mergeCell ref="A49:H49"/>
    <mergeCell ref="A41:E41"/>
    <mergeCell ref="A50:E50"/>
    <mergeCell ref="A22:F22"/>
    <mergeCell ref="A29:H29"/>
    <mergeCell ref="A25:F25"/>
    <mergeCell ref="G25:H25"/>
    <mergeCell ref="G26:H26"/>
    <mergeCell ref="A4:H4"/>
    <mergeCell ref="A5:H5"/>
    <mergeCell ref="A6:H6"/>
    <mergeCell ref="A7:H7"/>
    <mergeCell ref="A8:H8"/>
    <mergeCell ref="A10:H10"/>
    <mergeCell ref="A11:H11"/>
    <mergeCell ref="A12:F12"/>
    <mergeCell ref="G12:G13"/>
    <mergeCell ref="H12:H13"/>
    <mergeCell ref="A24:F24"/>
    <mergeCell ref="G24:H24"/>
    <mergeCell ref="A26:F26"/>
    <mergeCell ref="A51:E51"/>
    <mergeCell ref="A52:E52"/>
    <mergeCell ref="A53:E53"/>
    <mergeCell ref="A47:E47"/>
    <mergeCell ref="A54:C54"/>
    <mergeCell ref="A235:F235"/>
    <mergeCell ref="G235:H235"/>
    <mergeCell ref="A233:F233"/>
    <mergeCell ref="G88:H88"/>
    <mergeCell ref="A218:H218"/>
    <mergeCell ref="A219:H219"/>
    <mergeCell ref="A220:H220"/>
    <mergeCell ref="A221:H221"/>
    <mergeCell ref="A223:H223"/>
    <mergeCell ref="A224:H224"/>
    <mergeCell ref="A225:F225"/>
    <mergeCell ref="G225:G226"/>
    <mergeCell ref="H225:H226"/>
    <mergeCell ref="A153:H153"/>
    <mergeCell ref="A157:H157"/>
    <mergeCell ref="A159:H159"/>
    <mergeCell ref="A160:H160"/>
    <mergeCell ref="A161:F161"/>
    <mergeCell ref="A62:H62"/>
    <mergeCell ref="A63:H63"/>
    <mergeCell ref="A64:H64"/>
    <mergeCell ref="A87:F87"/>
    <mergeCell ref="G87:H87"/>
    <mergeCell ref="A88:F88"/>
    <mergeCell ref="A120:H120"/>
    <mergeCell ref="A84:F84"/>
    <mergeCell ref="A69:H69"/>
    <mergeCell ref="A70:F70"/>
    <mergeCell ref="G70:G71"/>
    <mergeCell ref="H70:H71"/>
    <mergeCell ref="A86:F86"/>
    <mergeCell ref="G86:H86"/>
    <mergeCell ref="A65:H65"/>
    <mergeCell ref="A68:H68"/>
    <mergeCell ref="A66:H66"/>
    <mergeCell ref="A92:E92"/>
    <mergeCell ref="A89:F89"/>
    <mergeCell ref="G89:H89"/>
    <mergeCell ref="A91:E91"/>
    <mergeCell ref="G108:G109"/>
    <mergeCell ref="H108:H109"/>
    <mergeCell ref="A113:F113"/>
    <mergeCell ref="A96:H96"/>
  </mergeCells>
  <phoneticPr fontId="10" type="noConversion"/>
  <pageMargins left="0.59055118110236227" right="0" top="0.70866141732283472" bottom="0.35433070866141736" header="0.31496062992125984" footer="0.31496062992125984"/>
  <pageSetup scale="85" orientation="portrait" r:id="rId1"/>
  <rowBreaks count="7" manualBreakCount="7">
    <brk id="39" max="8" man="1"/>
    <brk id="61" max="8" man="1"/>
    <brk id="98" max="8" man="1"/>
    <brk id="121" max="8" man="1"/>
    <brk id="149" max="8" man="1"/>
    <brk id="216" max="8" man="1"/>
    <brk id="243" max="8"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N17"/>
  <sheetViews>
    <sheetView topLeftCell="A7" zoomScale="120" zoomScaleNormal="120" workbookViewId="0">
      <selection activeCell="K16" sqref="A3:K16"/>
    </sheetView>
  </sheetViews>
  <sheetFormatPr baseColWidth="10" defaultRowHeight="12.75"/>
  <cols>
    <col min="1" max="1" width="4.28515625" style="642" customWidth="1"/>
    <col min="2" max="2" width="53.140625" style="185" customWidth="1"/>
    <col min="3" max="7" width="4.7109375" style="190" customWidth="1"/>
    <col min="8" max="8" width="21" style="188" customWidth="1"/>
    <col min="9" max="9" width="13.7109375" style="189" customWidth="1"/>
    <col min="10" max="10" width="16.42578125" style="186" customWidth="1"/>
    <col min="11" max="11" width="15.7109375" style="187" customWidth="1"/>
    <col min="12" max="12" width="13.140625" style="414" hidden="1" customWidth="1"/>
    <col min="13" max="13" width="25.5703125" style="538" customWidth="1"/>
    <col min="14" max="14" width="15.7109375" customWidth="1"/>
    <col min="17" max="17" width="12.85546875" customWidth="1"/>
    <col min="18" max="18" width="14" customWidth="1"/>
  </cols>
  <sheetData>
    <row r="3" spans="1:14" ht="21.75" customHeight="1">
      <c r="B3" s="1741" t="s">
        <v>595</v>
      </c>
      <c r="C3" s="1741"/>
      <c r="D3" s="1741"/>
      <c r="E3" s="1741"/>
      <c r="F3" s="1741"/>
      <c r="G3" s="1741"/>
      <c r="H3" s="1741"/>
      <c r="I3" s="1741"/>
      <c r="J3" s="1741"/>
      <c r="K3" s="1741"/>
      <c r="L3" s="450"/>
    </row>
    <row r="4" spans="1:14" ht="21.75" customHeight="1">
      <c r="B4" s="1750" t="s">
        <v>931</v>
      </c>
      <c r="C4" s="1750"/>
      <c r="D4" s="1750"/>
      <c r="E4" s="1750"/>
      <c r="F4" s="1750"/>
      <c r="G4" s="1750"/>
      <c r="H4" s="1750"/>
      <c r="I4" s="1750"/>
      <c r="J4" s="1750"/>
      <c r="K4" s="1750"/>
      <c r="L4" s="450"/>
      <c r="N4" s="203"/>
    </row>
    <row r="5" spans="1:14" ht="21.75" customHeight="1">
      <c r="B5" s="1741" t="s">
        <v>596</v>
      </c>
      <c r="C5" s="1741"/>
      <c r="D5" s="1741"/>
      <c r="E5" s="1741"/>
      <c r="F5" s="1741"/>
      <c r="G5" s="1741"/>
      <c r="H5" s="1741"/>
      <c r="I5" s="1741"/>
      <c r="J5" s="1741"/>
      <c r="K5" s="1741"/>
      <c r="N5" s="1022"/>
    </row>
    <row r="6" spans="1:14" ht="21.75" customHeight="1">
      <c r="B6" s="1749" t="s">
        <v>995</v>
      </c>
      <c r="C6" s="1749"/>
      <c r="D6" s="1749"/>
      <c r="E6" s="1749"/>
      <c r="F6" s="1749"/>
      <c r="G6" s="1749"/>
      <c r="H6" s="1749"/>
      <c r="I6" s="1749"/>
      <c r="J6" s="1749"/>
      <c r="K6" s="1749"/>
    </row>
    <row r="7" spans="1:14" ht="41.25" customHeight="1">
      <c r="A7" s="1873" t="s">
        <v>992</v>
      </c>
      <c r="B7" s="1873"/>
      <c r="C7" s="1873"/>
      <c r="D7" s="1873"/>
      <c r="E7" s="1873"/>
      <c r="F7" s="1873"/>
      <c r="G7" s="1873"/>
      <c r="H7" s="1873"/>
      <c r="I7" s="1873"/>
      <c r="J7" s="1873"/>
      <c r="K7" s="1873"/>
    </row>
    <row r="8" spans="1:14" ht="14.25" customHeight="1">
      <c r="A8" s="1874" t="s">
        <v>364</v>
      </c>
      <c r="B8" s="1876" t="s">
        <v>677</v>
      </c>
      <c r="C8" s="1878" t="s">
        <v>488</v>
      </c>
      <c r="D8" s="1879"/>
      <c r="E8" s="1879"/>
      <c r="F8" s="1879"/>
      <c r="G8" s="1880"/>
      <c r="H8" s="1874" t="s">
        <v>492</v>
      </c>
      <c r="I8" s="1881" t="s">
        <v>494</v>
      </c>
      <c r="J8" s="1883" t="s">
        <v>819</v>
      </c>
      <c r="K8" s="1870" t="s">
        <v>495</v>
      </c>
    </row>
    <row r="9" spans="1:14" ht="12.75" customHeight="1">
      <c r="A9" s="1875"/>
      <c r="B9" s="1877"/>
      <c r="C9" s="1298" t="s">
        <v>388</v>
      </c>
      <c r="D9" s="1298" t="s">
        <v>489</v>
      </c>
      <c r="E9" s="1298" t="s">
        <v>490</v>
      </c>
      <c r="F9" s="1298" t="s">
        <v>491</v>
      </c>
      <c r="G9" s="1298" t="s">
        <v>493</v>
      </c>
      <c r="H9" s="1875"/>
      <c r="I9" s="1882"/>
      <c r="J9" s="1884"/>
      <c r="K9" s="1871"/>
    </row>
    <row r="10" spans="1:14" s="997" customFormat="1" ht="31.5" customHeight="1">
      <c r="A10" s="1005">
        <v>1</v>
      </c>
      <c r="B10" s="1042" t="s">
        <v>1009</v>
      </c>
      <c r="C10" s="1299" t="s">
        <v>951</v>
      </c>
      <c r="D10" s="1299" t="s">
        <v>1086</v>
      </c>
      <c r="E10" s="1299" t="s">
        <v>33</v>
      </c>
      <c r="F10" s="1299" t="s">
        <v>953</v>
      </c>
      <c r="G10" s="1299" t="s">
        <v>953</v>
      </c>
      <c r="H10" s="1006" t="s">
        <v>497</v>
      </c>
      <c r="I10" s="1007" t="s">
        <v>498</v>
      </c>
      <c r="J10" s="1008">
        <f>'DETALLE PROY. 216'!H18</f>
        <v>3000</v>
      </c>
      <c r="K10" s="846">
        <f t="shared" ref="K10:K15" si="0">J10</f>
        <v>3000</v>
      </c>
      <c r="M10" s="998" t="s">
        <v>950</v>
      </c>
    </row>
    <row r="11" spans="1:14" ht="29.25" customHeight="1">
      <c r="A11" s="1005">
        <v>2</v>
      </c>
      <c r="B11" s="1042" t="s">
        <v>1018</v>
      </c>
      <c r="C11" s="1299" t="s">
        <v>1085</v>
      </c>
      <c r="D11" s="1299" t="s">
        <v>40</v>
      </c>
      <c r="E11" s="1299" t="s">
        <v>33</v>
      </c>
      <c r="F11" s="1299" t="s">
        <v>953</v>
      </c>
      <c r="G11" s="1299" t="s">
        <v>953</v>
      </c>
      <c r="H11" s="1006" t="s">
        <v>497</v>
      </c>
      <c r="I11" s="1007" t="s">
        <v>498</v>
      </c>
      <c r="J11" s="1008">
        <f>'DETALLE PROY. 216'!H44</f>
        <v>52150</v>
      </c>
      <c r="K11" s="846">
        <f t="shared" si="0"/>
        <v>52150</v>
      </c>
    </row>
    <row r="12" spans="1:14" ht="15" customHeight="1">
      <c r="A12" s="1005">
        <v>3</v>
      </c>
      <c r="B12" s="1205" t="s">
        <v>1037</v>
      </c>
      <c r="C12" s="1299" t="s">
        <v>1085</v>
      </c>
      <c r="D12" s="1299" t="s">
        <v>41</v>
      </c>
      <c r="E12" s="1299" t="s">
        <v>33</v>
      </c>
      <c r="F12" s="1299" t="s">
        <v>953</v>
      </c>
      <c r="G12" s="1299" t="s">
        <v>953</v>
      </c>
      <c r="H12" s="1006" t="s">
        <v>497</v>
      </c>
      <c r="I12" s="1007" t="s">
        <v>498</v>
      </c>
      <c r="J12" s="1008">
        <f>'DETALLE PROY. 216'!H69</f>
        <v>87270</v>
      </c>
      <c r="K12" s="846">
        <f t="shared" si="0"/>
        <v>87270</v>
      </c>
    </row>
    <row r="13" spans="1:14" s="997" customFormat="1" ht="15" customHeight="1">
      <c r="A13" s="1005">
        <v>4</v>
      </c>
      <c r="B13" s="1205" t="s">
        <v>1010</v>
      </c>
      <c r="C13" s="1299" t="s">
        <v>951</v>
      </c>
      <c r="D13" s="1299" t="s">
        <v>33</v>
      </c>
      <c r="E13" s="1299" t="s">
        <v>33</v>
      </c>
      <c r="F13" s="1299" t="s">
        <v>953</v>
      </c>
      <c r="G13" s="1299" t="s">
        <v>953</v>
      </c>
      <c r="H13" s="1006" t="s">
        <v>497</v>
      </c>
      <c r="I13" s="1007" t="s">
        <v>498</v>
      </c>
      <c r="J13" s="1008">
        <f>'DETALLE PROY. 216'!H93</f>
        <v>50000</v>
      </c>
      <c r="K13" s="846">
        <f t="shared" si="0"/>
        <v>50000</v>
      </c>
      <c r="M13" s="1021" t="s">
        <v>962</v>
      </c>
    </row>
    <row r="14" spans="1:14" s="414" customFormat="1" ht="27.75" customHeight="1">
      <c r="A14" s="1005">
        <v>5</v>
      </c>
      <c r="B14" s="1042" t="s">
        <v>1019</v>
      </c>
      <c r="C14" s="1299" t="s">
        <v>1085</v>
      </c>
      <c r="D14" s="1299" t="s">
        <v>33</v>
      </c>
      <c r="E14" s="1299" t="s">
        <v>33</v>
      </c>
      <c r="F14" s="1299" t="s">
        <v>953</v>
      </c>
      <c r="G14" s="1299" t="s">
        <v>953</v>
      </c>
      <c r="H14" s="1006" t="s">
        <v>497</v>
      </c>
      <c r="I14" s="1007" t="s">
        <v>498</v>
      </c>
      <c r="J14" s="1008">
        <f>'DETALLE PROY. 216'!H119</f>
        <v>38519.949999999997</v>
      </c>
      <c r="K14" s="846">
        <f t="shared" si="0"/>
        <v>38519.949999999997</v>
      </c>
      <c r="M14" s="1009"/>
    </row>
    <row r="15" spans="1:14" s="414" customFormat="1" ht="27.75" customHeight="1">
      <c r="A15" s="1005">
        <v>6</v>
      </c>
      <c r="B15" s="1042" t="s">
        <v>1083</v>
      </c>
      <c r="C15" s="1299" t="s">
        <v>951</v>
      </c>
      <c r="D15" s="1299" t="s">
        <v>952</v>
      </c>
      <c r="E15" s="1299" t="s">
        <v>33</v>
      </c>
      <c r="F15" s="1299" t="s">
        <v>953</v>
      </c>
      <c r="G15" s="1299" t="s">
        <v>953</v>
      </c>
      <c r="H15" s="1006" t="s">
        <v>497</v>
      </c>
      <c r="I15" s="1007" t="s">
        <v>498</v>
      </c>
      <c r="J15" s="1008">
        <f>'DETALLE PROY. 216'!H143</f>
        <v>15000</v>
      </c>
      <c r="K15" s="846">
        <f t="shared" si="0"/>
        <v>15000</v>
      </c>
      <c r="M15" s="1009"/>
    </row>
    <row r="16" spans="1:14" ht="15.75">
      <c r="A16" s="1742" t="s">
        <v>165</v>
      </c>
      <c r="B16" s="1742"/>
      <c r="C16" s="1872"/>
      <c r="D16" s="1872"/>
      <c r="E16" s="1872"/>
      <c r="F16" s="1872"/>
      <c r="G16" s="1872"/>
      <c r="H16" s="1742"/>
      <c r="I16" s="1742"/>
      <c r="J16" s="972">
        <f>SUM(J10:J15)</f>
        <v>245939.95</v>
      </c>
      <c r="K16" s="972">
        <f>SUM(K10:K15)</f>
        <v>245939.95</v>
      </c>
    </row>
    <row r="17" spans="2:11" ht="16.149999999999999" customHeight="1">
      <c r="B17"/>
      <c r="C17"/>
      <c r="D17"/>
      <c r="E17"/>
      <c r="F17"/>
      <c r="G17"/>
      <c r="H17"/>
      <c r="I17"/>
      <c r="J17"/>
      <c r="K17"/>
    </row>
  </sheetData>
  <mergeCells count="13">
    <mergeCell ref="K8:K9"/>
    <mergeCell ref="A16:I16"/>
    <mergeCell ref="B3:K3"/>
    <mergeCell ref="B4:K4"/>
    <mergeCell ref="B5:K5"/>
    <mergeCell ref="A7:K7"/>
    <mergeCell ref="A8:A9"/>
    <mergeCell ref="B8:B9"/>
    <mergeCell ref="C8:G8"/>
    <mergeCell ref="H8:H9"/>
    <mergeCell ref="I8:I9"/>
    <mergeCell ref="J8:J9"/>
    <mergeCell ref="B6:K6"/>
  </mergeCells>
  <pageMargins left="0.31496062992125984" right="0.31496062992125984" top="0.94488188976377963" bottom="0.74803149606299213" header="0.31496062992125984" footer="0.31496062992125984"/>
  <pageSetup paperSize="9" scale="90" orientation="landscape"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L150"/>
  <sheetViews>
    <sheetView topLeftCell="A140" zoomScaleNormal="100" workbookViewId="0">
      <selection activeCell="A130" sqref="A130:H150"/>
    </sheetView>
  </sheetViews>
  <sheetFormatPr baseColWidth="10" defaultRowHeight="12.75"/>
  <cols>
    <col min="1" max="1" width="7" customWidth="1"/>
    <col min="2" max="2" width="8" customWidth="1"/>
    <col min="3" max="3" width="7.42578125" customWidth="1"/>
    <col min="4" max="5" width="7.5703125" customWidth="1"/>
    <col min="6" max="6" width="9.140625" bestFit="1" customWidth="1"/>
    <col min="7" max="7" width="36.140625" customWidth="1"/>
    <col min="8" max="8" width="27" customWidth="1"/>
    <col min="11" max="11" width="23.85546875" style="1058" bestFit="1" customWidth="1"/>
    <col min="12" max="12" width="16.28515625" style="201" customWidth="1"/>
  </cols>
  <sheetData>
    <row r="1" spans="1:12">
      <c r="I1" s="1869">
        <v>1</v>
      </c>
    </row>
    <row r="2" spans="1:12" ht="18">
      <c r="A2" s="1802" t="s">
        <v>79</v>
      </c>
      <c r="B2" s="1557"/>
      <c r="C2" s="1557"/>
      <c r="D2" s="1557"/>
      <c r="E2" s="1557"/>
      <c r="F2" s="1557"/>
      <c r="G2" s="1557"/>
      <c r="H2" s="1557"/>
      <c r="I2" s="1869"/>
    </row>
    <row r="3" spans="1:12" ht="18">
      <c r="A3" s="1802" t="s">
        <v>537</v>
      </c>
      <c r="B3" s="1557"/>
      <c r="C3" s="1557"/>
      <c r="D3" s="1557"/>
      <c r="E3" s="1557"/>
      <c r="F3" s="1557"/>
      <c r="G3" s="1557"/>
      <c r="H3" s="1557"/>
    </row>
    <row r="4" spans="1:12" ht="18">
      <c r="A4" s="1752" t="s">
        <v>174</v>
      </c>
      <c r="B4" s="1557"/>
      <c r="C4" s="1557"/>
      <c r="D4" s="1557"/>
      <c r="E4" s="1557"/>
      <c r="F4" s="1557"/>
      <c r="G4" s="1557"/>
      <c r="H4" s="1557"/>
    </row>
    <row r="5" spans="1:12" ht="18">
      <c r="A5" s="1752" t="s">
        <v>928</v>
      </c>
      <c r="B5" s="1557"/>
      <c r="C5" s="1557"/>
      <c r="D5" s="1557"/>
      <c r="E5" s="1557"/>
      <c r="F5" s="1557"/>
      <c r="G5" s="1557"/>
      <c r="H5" s="1557"/>
    </row>
    <row r="6" spans="1:12" ht="18">
      <c r="A6" s="1752" t="s">
        <v>790</v>
      </c>
      <c r="B6" s="1557"/>
      <c r="C6" s="1557"/>
      <c r="D6" s="1557"/>
      <c r="E6" s="1557"/>
      <c r="F6" s="1557"/>
      <c r="G6" s="1557"/>
      <c r="H6" s="1557"/>
    </row>
    <row r="7" spans="1:12" ht="7.15" customHeight="1">
      <c r="A7" s="902"/>
      <c r="B7" s="903"/>
      <c r="C7" s="904"/>
      <c r="D7" s="905"/>
      <c r="E7" s="905"/>
      <c r="F7" s="906"/>
      <c r="G7" s="895"/>
      <c r="H7" s="896"/>
    </row>
    <row r="8" spans="1:12" s="538" customFormat="1" ht="42.75" customHeight="1">
      <c r="A8" s="1891" t="s">
        <v>840</v>
      </c>
      <c r="B8" s="1891"/>
      <c r="C8" s="1891"/>
      <c r="D8" s="1891"/>
      <c r="E8" s="1891"/>
      <c r="F8" s="1891"/>
      <c r="G8" s="1891"/>
      <c r="H8" s="1891"/>
      <c r="K8" s="1061"/>
      <c r="L8" s="886"/>
    </row>
    <row r="9" spans="1:12" ht="45" customHeight="1" thickBot="1">
      <c r="A9" s="1907" t="s">
        <v>933</v>
      </c>
      <c r="B9" s="1908"/>
      <c r="C9" s="1908"/>
      <c r="D9" s="1908"/>
      <c r="E9" s="1908"/>
      <c r="F9" s="1908"/>
      <c r="G9" s="1908"/>
      <c r="H9" s="1908"/>
    </row>
    <row r="10" spans="1:12" ht="15" thickBot="1">
      <c r="A10" s="1909" t="s">
        <v>8</v>
      </c>
      <c r="B10" s="1910"/>
      <c r="C10" s="1910"/>
      <c r="D10" s="1910"/>
      <c r="E10" s="1910"/>
      <c r="F10" s="1911"/>
      <c r="G10" s="1912" t="s">
        <v>501</v>
      </c>
      <c r="H10" s="1913" t="s">
        <v>500</v>
      </c>
    </row>
    <row r="11" spans="1:12" ht="74.25" customHeight="1" thickBot="1">
      <c r="A11" s="1077" t="s">
        <v>796</v>
      </c>
      <c r="B11" s="1075" t="s">
        <v>179</v>
      </c>
      <c r="C11" s="1075" t="s">
        <v>797</v>
      </c>
      <c r="D11" s="1075" t="s">
        <v>21</v>
      </c>
      <c r="E11" s="1075" t="s">
        <v>803</v>
      </c>
      <c r="F11" s="1076" t="s">
        <v>19</v>
      </c>
      <c r="G11" s="1909"/>
      <c r="H11" s="1913"/>
    </row>
    <row r="12" spans="1:12" ht="18.75" customHeight="1">
      <c r="A12" s="1078" t="s">
        <v>951</v>
      </c>
      <c r="B12" s="1074" t="s">
        <v>1086</v>
      </c>
      <c r="C12" s="1074" t="s">
        <v>33</v>
      </c>
      <c r="D12" s="1074" t="s">
        <v>953</v>
      </c>
      <c r="E12" s="1074" t="s">
        <v>953</v>
      </c>
      <c r="F12" s="1100">
        <v>51105</v>
      </c>
      <c r="G12" s="1102" t="s">
        <v>291</v>
      </c>
      <c r="H12" s="1080">
        <v>624</v>
      </c>
    </row>
    <row r="13" spans="1:12" ht="23.25" customHeight="1">
      <c r="A13" s="1079" t="s">
        <v>951</v>
      </c>
      <c r="B13" s="1074" t="s">
        <v>1086</v>
      </c>
      <c r="C13" s="1073" t="s">
        <v>33</v>
      </c>
      <c r="D13" s="1073" t="s">
        <v>953</v>
      </c>
      <c r="E13" s="1073" t="s">
        <v>953</v>
      </c>
      <c r="F13" s="1101">
        <v>54101</v>
      </c>
      <c r="G13" s="1103" t="s">
        <v>725</v>
      </c>
      <c r="H13" s="1081">
        <f>1026-H17</f>
        <v>1009.05</v>
      </c>
    </row>
    <row r="14" spans="1:12" ht="20.25" customHeight="1">
      <c r="A14" s="1079" t="s">
        <v>951</v>
      </c>
      <c r="B14" s="1074" t="s">
        <v>1086</v>
      </c>
      <c r="C14" s="1073" t="s">
        <v>33</v>
      </c>
      <c r="D14" s="1073" t="s">
        <v>953</v>
      </c>
      <c r="E14" s="1073" t="s">
        <v>953</v>
      </c>
      <c r="F14" s="1101">
        <v>54105</v>
      </c>
      <c r="G14" s="1104" t="s">
        <v>629</v>
      </c>
      <c r="H14" s="1082">
        <v>150</v>
      </c>
    </row>
    <row r="15" spans="1:12" ht="19.5" customHeight="1">
      <c r="A15" s="1079" t="s">
        <v>951</v>
      </c>
      <c r="B15" s="1074" t="s">
        <v>1086</v>
      </c>
      <c r="C15" s="1073" t="s">
        <v>33</v>
      </c>
      <c r="D15" s="1073" t="s">
        <v>953</v>
      </c>
      <c r="E15" s="1073" t="s">
        <v>953</v>
      </c>
      <c r="F15" s="1101">
        <v>54199</v>
      </c>
      <c r="G15" s="1104" t="s">
        <v>630</v>
      </c>
      <c r="H15" s="1082">
        <v>400</v>
      </c>
    </row>
    <row r="16" spans="1:12" ht="21" customHeight="1">
      <c r="A16" s="1079" t="s">
        <v>951</v>
      </c>
      <c r="B16" s="1074" t="s">
        <v>1086</v>
      </c>
      <c r="C16" s="1073" t="s">
        <v>33</v>
      </c>
      <c r="D16" s="1073" t="s">
        <v>953</v>
      </c>
      <c r="E16" s="1073" t="s">
        <v>953</v>
      </c>
      <c r="F16" s="1101">
        <v>54304</v>
      </c>
      <c r="G16" s="1103" t="s">
        <v>509</v>
      </c>
      <c r="H16" s="1081">
        <v>800</v>
      </c>
    </row>
    <row r="17" spans="1:12" s="44" customFormat="1" ht="21" customHeight="1" thickBot="1">
      <c r="A17" s="1105" t="s">
        <v>951</v>
      </c>
      <c r="B17" s="1074" t="s">
        <v>1086</v>
      </c>
      <c r="C17" s="1106" t="s">
        <v>33</v>
      </c>
      <c r="D17" s="1106" t="s">
        <v>953</v>
      </c>
      <c r="E17" s="1106" t="s">
        <v>953</v>
      </c>
      <c r="F17" s="1107">
        <v>55603</v>
      </c>
      <c r="G17" s="1108" t="s">
        <v>990</v>
      </c>
      <c r="H17" s="1109">
        <v>16.95</v>
      </c>
    </row>
    <row r="18" spans="1:12" ht="15.75" thickBot="1">
      <c r="A18" s="1914" t="s">
        <v>165</v>
      </c>
      <c r="B18" s="1915"/>
      <c r="C18" s="1915"/>
      <c r="D18" s="1915"/>
      <c r="E18" s="1915"/>
      <c r="F18" s="1915"/>
      <c r="G18" s="1071"/>
      <c r="H18" s="1072">
        <f>SUM(H12:H17)</f>
        <v>3000</v>
      </c>
    </row>
    <row r="19" spans="1:12" ht="15" thickBot="1">
      <c r="A19" s="1893"/>
      <c r="B19" s="1894"/>
      <c r="C19" s="1894"/>
      <c r="D19" s="1894"/>
      <c r="E19" s="1894"/>
      <c r="F19" s="1894"/>
      <c r="G19" s="1894"/>
      <c r="H19" s="1895"/>
    </row>
    <row r="20" spans="1:12" ht="25.5" customHeight="1" thickTop="1" thickBot="1">
      <c r="A20" s="1916" t="s">
        <v>837</v>
      </c>
      <c r="B20" s="1917"/>
      <c r="C20" s="1917"/>
      <c r="D20" s="1917"/>
      <c r="E20" s="1917"/>
      <c r="F20" s="1917"/>
      <c r="G20" s="1905" t="s">
        <v>930</v>
      </c>
      <c r="H20" s="1905"/>
    </row>
    <row r="21" spans="1:12" ht="30.75" customHeight="1" thickTop="1" thickBot="1">
      <c r="A21" s="1902" t="s">
        <v>726</v>
      </c>
      <c r="B21" s="1903"/>
      <c r="C21" s="1903"/>
      <c r="D21" s="1903"/>
      <c r="E21" s="1903"/>
      <c r="F21" s="1903"/>
      <c r="G21" s="1902" t="s">
        <v>839</v>
      </c>
      <c r="H21" s="1903"/>
    </row>
    <row r="22" spans="1:12" ht="57.75" customHeight="1" thickTop="1" thickBot="1">
      <c r="A22" s="1904" t="s">
        <v>727</v>
      </c>
      <c r="B22" s="1904"/>
      <c r="C22" s="1904"/>
      <c r="D22" s="1904"/>
      <c r="E22" s="1904"/>
      <c r="F22" s="1904"/>
      <c r="G22" s="1905" t="s">
        <v>522</v>
      </c>
      <c r="H22" s="1903"/>
    </row>
    <row r="23" spans="1:12" ht="36.75" customHeight="1" thickTop="1" thickBot="1">
      <c r="A23" s="1904" t="s">
        <v>728</v>
      </c>
      <c r="B23" s="1903"/>
      <c r="C23" s="1903"/>
      <c r="D23" s="1903"/>
      <c r="E23" s="1903"/>
      <c r="F23" s="1903"/>
      <c r="G23" s="1906" t="s">
        <v>523</v>
      </c>
      <c r="H23" s="1903"/>
    </row>
    <row r="24" spans="1:12" ht="14.25" thickTop="1" thickBot="1">
      <c r="A24" s="892"/>
      <c r="B24" s="903"/>
      <c r="C24" s="904"/>
      <c r="D24" s="905"/>
      <c r="E24" s="905"/>
      <c r="F24" s="906"/>
      <c r="G24" s="895"/>
      <c r="H24" s="896"/>
    </row>
    <row r="25" spans="1:12" ht="39" customHeight="1" thickTop="1" thickBot="1">
      <c r="A25" s="1892" t="s">
        <v>897</v>
      </c>
      <c r="B25" s="1892"/>
      <c r="C25" s="1892"/>
      <c r="D25" s="1892"/>
      <c r="E25" s="1892"/>
      <c r="F25" s="1892"/>
      <c r="G25" s="1892"/>
      <c r="H25" s="1892"/>
      <c r="L25" s="476"/>
    </row>
    <row r="26" spans="1:12" ht="13.5" thickTop="1"/>
    <row r="28" spans="1:12">
      <c r="A28" s="919"/>
      <c r="B28" s="920"/>
      <c r="C28" s="921"/>
      <c r="D28" s="922"/>
      <c r="E28" s="922"/>
      <c r="F28" s="901"/>
      <c r="G28" s="885"/>
      <c r="H28" s="923"/>
      <c r="I28" s="1869">
        <v>2</v>
      </c>
    </row>
    <row r="29" spans="1:12">
      <c r="A29" s="892"/>
      <c r="B29" s="903"/>
      <c r="C29" s="904"/>
      <c r="D29" s="905"/>
      <c r="E29" s="905"/>
      <c r="F29" s="906"/>
      <c r="G29" s="895"/>
      <c r="H29" s="896"/>
      <c r="I29" s="1869"/>
    </row>
    <row r="30" spans="1:12" ht="23.25">
      <c r="A30" s="1802" t="s">
        <v>1092</v>
      </c>
      <c r="B30" s="1802"/>
      <c r="C30" s="1802"/>
      <c r="D30" s="1802"/>
      <c r="E30" s="1802"/>
      <c r="F30" s="1802"/>
      <c r="G30" s="1802"/>
      <c r="H30" s="1802"/>
      <c r="K30" s="1213"/>
    </row>
    <row r="31" spans="1:12" ht="18">
      <c r="A31" s="1751" t="s">
        <v>537</v>
      </c>
      <c r="B31" s="1751"/>
      <c r="C31" s="1751"/>
      <c r="D31" s="1751"/>
      <c r="E31" s="1751"/>
      <c r="F31" s="1751"/>
      <c r="G31" s="1751"/>
      <c r="H31" s="1751"/>
    </row>
    <row r="32" spans="1:12" ht="18">
      <c r="A32" s="1752" t="s">
        <v>174</v>
      </c>
      <c r="B32" s="1752"/>
      <c r="C32" s="1752"/>
      <c r="D32" s="1752"/>
      <c r="E32" s="1752"/>
      <c r="F32" s="1752"/>
      <c r="G32" s="1752"/>
      <c r="H32" s="1752"/>
    </row>
    <row r="33" spans="1:9" ht="18">
      <c r="A33" s="1776" t="s">
        <v>928</v>
      </c>
      <c r="B33" s="1776"/>
      <c r="C33" s="1776"/>
      <c r="D33" s="1776"/>
      <c r="E33" s="1776"/>
      <c r="F33" s="1776"/>
      <c r="G33" s="1776"/>
      <c r="H33" s="1776"/>
      <c r="I33" s="414"/>
    </row>
    <row r="34" spans="1:9" ht="18">
      <c r="A34" s="1752" t="s">
        <v>790</v>
      </c>
      <c r="B34" s="1752"/>
      <c r="C34" s="1752"/>
      <c r="D34" s="1752"/>
      <c r="E34" s="1752"/>
      <c r="F34" s="1752"/>
      <c r="G34" s="1752"/>
      <c r="H34" s="1752"/>
    </row>
    <row r="35" spans="1:9" ht="17.25" customHeight="1">
      <c r="A35" s="902"/>
      <c r="B35" s="903"/>
      <c r="C35" s="904"/>
      <c r="D35" s="905"/>
      <c r="E35" s="905"/>
      <c r="F35" s="906"/>
      <c r="G35" s="895"/>
      <c r="H35" s="896"/>
    </row>
    <row r="36" spans="1:9" ht="34.5" customHeight="1">
      <c r="A36" s="1896" t="s">
        <v>25</v>
      </c>
      <c r="B36" s="1896"/>
      <c r="C36" s="1896"/>
      <c r="D36" s="1896"/>
      <c r="E36" s="1896"/>
      <c r="F36" s="1896"/>
      <c r="G36" s="1896"/>
      <c r="H36" s="1896"/>
    </row>
    <row r="37" spans="1:9" ht="42" customHeight="1" thickBot="1">
      <c r="A37" s="1798" t="s">
        <v>960</v>
      </c>
      <c r="B37" s="1799"/>
      <c r="C37" s="1799"/>
      <c r="D37" s="1799"/>
      <c r="E37" s="1799"/>
      <c r="F37" s="1799"/>
      <c r="G37" s="1799"/>
      <c r="H37" s="1800"/>
    </row>
    <row r="38" spans="1:9" ht="13.5" thickBot="1">
      <c r="A38" s="1765" t="s">
        <v>8</v>
      </c>
      <c r="B38" s="1766"/>
      <c r="C38" s="1766"/>
      <c r="D38" s="1766"/>
      <c r="E38" s="1766"/>
      <c r="F38" s="1767"/>
      <c r="G38" s="1897" t="s">
        <v>501</v>
      </c>
      <c r="H38" s="1898" t="s">
        <v>500</v>
      </c>
    </row>
    <row r="39" spans="1:9" ht="66" customHeight="1" thickBot="1">
      <c r="A39" s="907" t="s">
        <v>796</v>
      </c>
      <c r="B39" s="908" t="s">
        <v>179</v>
      </c>
      <c r="C39" s="908" t="s">
        <v>797</v>
      </c>
      <c r="D39" s="908" t="s">
        <v>21</v>
      </c>
      <c r="E39" s="909" t="s">
        <v>803</v>
      </c>
      <c r="F39" s="910" t="s">
        <v>19</v>
      </c>
      <c r="G39" s="1888"/>
      <c r="H39" s="1898"/>
    </row>
    <row r="40" spans="1:9" ht="21.75" customHeight="1" thickBot="1">
      <c r="A40" s="1078" t="s">
        <v>1085</v>
      </c>
      <c r="B40" s="1074" t="s">
        <v>40</v>
      </c>
      <c r="C40" s="1074" t="s">
        <v>33</v>
      </c>
      <c r="D40" s="1074" t="s">
        <v>953</v>
      </c>
      <c r="E40" s="1074" t="s">
        <v>953</v>
      </c>
      <c r="F40" s="1085">
        <v>54110</v>
      </c>
      <c r="G40" s="1086" t="s">
        <v>530</v>
      </c>
      <c r="H40" s="1083">
        <v>10000</v>
      </c>
    </row>
    <row r="41" spans="1:9" ht="21.75" customHeight="1" thickBot="1">
      <c r="A41" s="1078" t="s">
        <v>1085</v>
      </c>
      <c r="B41" s="1074" t="s">
        <v>40</v>
      </c>
      <c r="C41" s="1074" t="s">
        <v>33</v>
      </c>
      <c r="D41" s="1074" t="s">
        <v>953</v>
      </c>
      <c r="E41" s="1074" t="s">
        <v>953</v>
      </c>
      <c r="F41" s="1085">
        <v>54302</v>
      </c>
      <c r="G41" s="1087" t="s">
        <v>804</v>
      </c>
      <c r="H41" s="1084">
        <v>6000</v>
      </c>
    </row>
    <row r="42" spans="1:9" ht="34.5" customHeight="1" thickBot="1">
      <c r="A42" s="1078" t="s">
        <v>1085</v>
      </c>
      <c r="B42" s="1074" t="s">
        <v>40</v>
      </c>
      <c r="C42" s="1074" t="s">
        <v>33</v>
      </c>
      <c r="D42" s="1074" t="s">
        <v>953</v>
      </c>
      <c r="E42" s="1074" t="s">
        <v>953</v>
      </c>
      <c r="F42" s="1085" t="s">
        <v>532</v>
      </c>
      <c r="G42" s="1087" t="s">
        <v>961</v>
      </c>
      <c r="H42" s="1084">
        <v>36000</v>
      </c>
    </row>
    <row r="43" spans="1:9" ht="19.5" customHeight="1" thickBot="1">
      <c r="A43" s="1078" t="s">
        <v>1085</v>
      </c>
      <c r="B43" s="1074" t="s">
        <v>40</v>
      </c>
      <c r="C43" s="1074" t="s">
        <v>33</v>
      </c>
      <c r="D43" s="1074" t="s">
        <v>953</v>
      </c>
      <c r="E43" s="1074" t="s">
        <v>953</v>
      </c>
      <c r="F43" s="1110">
        <v>55603</v>
      </c>
      <c r="G43" s="1111" t="s">
        <v>990</v>
      </c>
      <c r="H43" s="1112">
        <v>150</v>
      </c>
    </row>
    <row r="44" spans="1:9" ht="15" thickBot="1">
      <c r="A44" s="1899" t="s">
        <v>165</v>
      </c>
      <c r="B44" s="1900"/>
      <c r="C44" s="1900"/>
      <c r="D44" s="1900"/>
      <c r="E44" s="1900"/>
      <c r="F44" s="1900"/>
      <c r="G44" s="1113"/>
      <c r="H44" s="1114">
        <f>SUM(H40:H43)</f>
        <v>52150</v>
      </c>
    </row>
    <row r="45" spans="1:9" ht="13.5" thickBot="1">
      <c r="A45" s="892"/>
      <c r="B45" s="892"/>
      <c r="C45" s="893"/>
      <c r="D45" s="894"/>
      <c r="E45" s="894"/>
      <c r="F45" s="911"/>
      <c r="G45" s="895"/>
      <c r="H45" s="896"/>
    </row>
    <row r="46" spans="1:9" ht="29.25" customHeight="1">
      <c r="A46" s="1771" t="s">
        <v>837</v>
      </c>
      <c r="B46" s="1772"/>
      <c r="C46" s="1772"/>
      <c r="D46" s="1772"/>
      <c r="E46" s="1772"/>
      <c r="F46" s="1773"/>
      <c r="G46" s="1774" t="s">
        <v>930</v>
      </c>
      <c r="H46" s="1775"/>
      <c r="I46" s="414"/>
    </row>
    <row r="47" spans="1:9" ht="29.25" customHeight="1">
      <c r="A47" s="1753" t="s">
        <v>881</v>
      </c>
      <c r="B47" s="1754"/>
      <c r="C47" s="1754"/>
      <c r="D47" s="1754"/>
      <c r="E47" s="1754"/>
      <c r="F47" s="1755"/>
      <c r="G47" s="1753" t="s">
        <v>839</v>
      </c>
      <c r="H47" s="1755"/>
    </row>
    <row r="48" spans="1:9" ht="41.45" customHeight="1">
      <c r="A48" s="1756" t="s">
        <v>989</v>
      </c>
      <c r="B48" s="1757"/>
      <c r="C48" s="1757"/>
      <c r="D48" s="1757"/>
      <c r="E48" s="1757"/>
      <c r="F48" s="1758"/>
      <c r="G48" s="1796" t="s">
        <v>522</v>
      </c>
      <c r="H48" s="1755"/>
    </row>
    <row r="49" spans="1:12" ht="27.75" customHeight="1" thickBot="1">
      <c r="A49" s="1779" t="s">
        <v>734</v>
      </c>
      <c r="B49" s="1780"/>
      <c r="C49" s="1780"/>
      <c r="D49" s="1780"/>
      <c r="E49" s="1780"/>
      <c r="F49" s="1781"/>
      <c r="G49" s="1782" t="s">
        <v>523</v>
      </c>
      <c r="H49" s="1781"/>
    </row>
    <row r="50" spans="1:12" ht="15">
      <c r="A50" s="204"/>
      <c r="B50" s="205"/>
      <c r="C50" s="205"/>
      <c r="D50" s="205"/>
      <c r="E50" s="205"/>
      <c r="F50" s="205"/>
      <c r="G50" s="205"/>
      <c r="H50" s="940"/>
    </row>
    <row r="51" spans="1:12" ht="38.25" customHeight="1">
      <c r="A51" s="1918" t="s">
        <v>897</v>
      </c>
      <c r="B51" s="1919"/>
      <c r="C51" s="1919"/>
      <c r="D51" s="1919"/>
      <c r="E51" s="1919"/>
      <c r="F51" s="1919"/>
      <c r="G51" s="1919"/>
      <c r="H51" s="1920"/>
    </row>
    <row r="53" spans="1:12" s="445" customFormat="1">
      <c r="K53" s="1059"/>
      <c r="L53" s="1003"/>
    </row>
    <row r="55" spans="1:12" ht="24.6" customHeight="1">
      <c r="A55" s="1802" t="s">
        <v>528</v>
      </c>
      <c r="B55" s="1802"/>
      <c r="C55" s="1802"/>
      <c r="D55" s="1802"/>
      <c r="E55" s="1802"/>
      <c r="F55" s="1802"/>
      <c r="G55" s="1802"/>
      <c r="H55" s="1802"/>
      <c r="I55" s="1869">
        <v>3</v>
      </c>
    </row>
    <row r="56" spans="1:12" ht="18">
      <c r="A56" s="1802" t="s">
        <v>529</v>
      </c>
      <c r="B56" s="1802"/>
      <c r="C56" s="1802"/>
      <c r="D56" s="1802"/>
      <c r="E56" s="1802"/>
      <c r="F56" s="1802"/>
      <c r="G56" s="1802"/>
      <c r="H56" s="1802"/>
      <c r="I56" s="1869"/>
    </row>
    <row r="57" spans="1:12" ht="18">
      <c r="A57" s="1802" t="s">
        <v>174</v>
      </c>
      <c r="B57" s="1802"/>
      <c r="C57" s="1802"/>
      <c r="D57" s="1802"/>
      <c r="E57" s="1802"/>
      <c r="F57" s="1802"/>
      <c r="G57" s="1802"/>
      <c r="H57" s="1802"/>
    </row>
    <row r="58" spans="1:12" ht="18">
      <c r="A58" s="1802" t="s">
        <v>928</v>
      </c>
      <c r="B58" s="1802"/>
      <c r="C58" s="1802"/>
      <c r="D58" s="1802"/>
      <c r="E58" s="1802"/>
      <c r="F58" s="1802"/>
      <c r="G58" s="1802"/>
      <c r="H58" s="1802"/>
      <c r="K58" s="203"/>
      <c r="L58" s="203"/>
    </row>
    <row r="59" spans="1:12" s="203" customFormat="1" ht="18">
      <c r="A59" s="1752" t="s">
        <v>790</v>
      </c>
      <c r="B59" s="1752"/>
      <c r="C59" s="1752"/>
      <c r="D59" s="1752"/>
      <c r="E59" s="1752"/>
      <c r="F59" s="1752"/>
      <c r="G59" s="1752"/>
      <c r="H59" s="1752"/>
    </row>
    <row r="60" spans="1:12" s="203" customFormat="1" ht="11.25" customHeight="1">
      <c r="A60" s="902"/>
      <c r="B60" s="903"/>
      <c r="C60" s="904"/>
      <c r="D60" s="905"/>
      <c r="E60" s="905"/>
      <c r="F60" s="906"/>
      <c r="G60" s="895"/>
      <c r="H60" s="896"/>
    </row>
    <row r="61" spans="1:12" s="203" customFormat="1" ht="18">
      <c r="A61" s="1901" t="s">
        <v>25</v>
      </c>
      <c r="B61" s="1901"/>
      <c r="C61" s="1901"/>
      <c r="D61" s="1901"/>
      <c r="E61" s="1901"/>
      <c r="F61" s="1901"/>
      <c r="G61" s="1901"/>
      <c r="H61" s="1901"/>
      <c r="K61" s="1058"/>
      <c r="L61" s="201"/>
    </row>
    <row r="62" spans="1:12" ht="36.6" customHeight="1">
      <c r="A62" s="1798" t="s">
        <v>1036</v>
      </c>
      <c r="B62" s="1799"/>
      <c r="C62" s="1799"/>
      <c r="D62" s="1799"/>
      <c r="E62" s="1799"/>
      <c r="F62" s="1799"/>
      <c r="G62" s="1799"/>
      <c r="H62" s="1799"/>
      <c r="K62" s="203"/>
      <c r="L62" s="203"/>
    </row>
    <row r="63" spans="1:12" s="203" customFormat="1" ht="28.15" customHeight="1" thickBot="1">
      <c r="A63" s="1765" t="s">
        <v>8</v>
      </c>
      <c r="B63" s="1766"/>
      <c r="C63" s="1766"/>
      <c r="D63" s="1766"/>
      <c r="E63" s="1766"/>
      <c r="F63" s="1767"/>
      <c r="G63" s="1768" t="s">
        <v>501</v>
      </c>
      <c r="H63" s="1924" t="s">
        <v>500</v>
      </c>
      <c r="K63" s="917"/>
      <c r="L63" s="917"/>
    </row>
    <row r="64" spans="1:12" s="917" customFormat="1" ht="73.5" customHeight="1" thickBot="1">
      <c r="A64" s="1000" t="s">
        <v>796</v>
      </c>
      <c r="B64" s="1000" t="s">
        <v>179</v>
      </c>
      <c r="C64" s="1000" t="s">
        <v>797</v>
      </c>
      <c r="D64" s="1000" t="s">
        <v>21</v>
      </c>
      <c r="E64" s="1001" t="s">
        <v>803</v>
      </c>
      <c r="F64" s="1002" t="s">
        <v>19</v>
      </c>
      <c r="G64" s="1769"/>
      <c r="H64" s="1817"/>
      <c r="K64" s="203"/>
      <c r="L64" s="203"/>
    </row>
    <row r="65" spans="1:12" s="203" customFormat="1" ht="15">
      <c r="A65" s="989" t="s">
        <v>1085</v>
      </c>
      <c r="B65" s="1300" t="s">
        <v>41</v>
      </c>
      <c r="C65" s="1074" t="s">
        <v>33</v>
      </c>
      <c r="D65" s="1074" t="s">
        <v>953</v>
      </c>
      <c r="E65" s="1074" t="s">
        <v>953</v>
      </c>
      <c r="F65" s="1090">
        <v>54119</v>
      </c>
      <c r="G65" s="1091" t="s">
        <v>835</v>
      </c>
      <c r="H65" s="1088">
        <v>7000</v>
      </c>
    </row>
    <row r="66" spans="1:12" s="203" customFormat="1" ht="15">
      <c r="A66" s="989" t="s">
        <v>1085</v>
      </c>
      <c r="B66" s="1300" t="s">
        <v>41</v>
      </c>
      <c r="C66" s="1074" t="s">
        <v>33</v>
      </c>
      <c r="D66" s="1074" t="s">
        <v>953</v>
      </c>
      <c r="E66" s="1074" t="s">
        <v>953</v>
      </c>
      <c r="F66" s="1090">
        <v>54201</v>
      </c>
      <c r="G66" s="1092" t="s">
        <v>1035</v>
      </c>
      <c r="H66" s="1089">
        <v>79200</v>
      </c>
    </row>
    <row r="67" spans="1:12" s="203" customFormat="1" ht="28.5">
      <c r="A67" s="989" t="s">
        <v>1085</v>
      </c>
      <c r="B67" s="1300" t="s">
        <v>41</v>
      </c>
      <c r="C67" s="1074" t="s">
        <v>33</v>
      </c>
      <c r="D67" s="1074" t="s">
        <v>953</v>
      </c>
      <c r="E67" s="1074" t="s">
        <v>953</v>
      </c>
      <c r="F67" s="1090">
        <v>54303</v>
      </c>
      <c r="G67" s="1093" t="s">
        <v>603</v>
      </c>
      <c r="H67" s="1295">
        <v>1000</v>
      </c>
    </row>
    <row r="68" spans="1:12" s="203" customFormat="1" ht="15.75" thickBot="1">
      <c r="A68" s="989" t="s">
        <v>1085</v>
      </c>
      <c r="B68" s="1300" t="s">
        <v>41</v>
      </c>
      <c r="C68" s="1074" t="s">
        <v>33</v>
      </c>
      <c r="D68" s="1074" t="s">
        <v>953</v>
      </c>
      <c r="E68" s="1074" t="s">
        <v>953</v>
      </c>
      <c r="F68" s="1117">
        <v>55603</v>
      </c>
      <c r="G68" s="1093" t="s">
        <v>924</v>
      </c>
      <c r="H68" s="1118">
        <v>70</v>
      </c>
    </row>
    <row r="69" spans="1:12" s="203" customFormat="1" ht="15.75" thickBot="1">
      <c r="A69" s="1925" t="s">
        <v>165</v>
      </c>
      <c r="B69" s="1900"/>
      <c r="C69" s="1900"/>
      <c r="D69" s="1900"/>
      <c r="E69" s="1900"/>
      <c r="F69" s="1900"/>
      <c r="G69" s="1113"/>
      <c r="H69" s="1119">
        <f>SUM(H65:H68)</f>
        <v>87270</v>
      </c>
    </row>
    <row r="70" spans="1:12" s="203" customFormat="1" ht="13.5" thickBot="1">
      <c r="A70" s="892"/>
      <c r="B70" s="892"/>
      <c r="C70" s="893"/>
      <c r="D70" s="894"/>
      <c r="E70" s="894"/>
      <c r="F70" s="911"/>
      <c r="G70" s="895"/>
      <c r="H70" s="896"/>
      <c r="J70" s="224"/>
    </row>
    <row r="71" spans="1:12" s="203" customFormat="1">
      <c r="A71" s="1771" t="s">
        <v>521</v>
      </c>
      <c r="B71" s="1772"/>
      <c r="C71" s="1772"/>
      <c r="D71" s="1772"/>
      <c r="E71" s="1772"/>
      <c r="F71" s="1773"/>
      <c r="G71" s="1774" t="s">
        <v>930</v>
      </c>
      <c r="H71" s="1775"/>
    </row>
    <row r="72" spans="1:12" s="203" customFormat="1" ht="24" customHeight="1">
      <c r="A72" s="1753" t="s">
        <v>834</v>
      </c>
      <c r="B72" s="1828"/>
      <c r="C72" s="1828"/>
      <c r="D72" s="1828"/>
      <c r="E72" s="1828"/>
      <c r="F72" s="1829"/>
      <c r="G72" s="1753" t="s">
        <v>839</v>
      </c>
      <c r="H72" s="1755"/>
      <c r="K72" s="1060"/>
      <c r="L72" s="224"/>
    </row>
    <row r="73" spans="1:12" s="203" customFormat="1" ht="42" customHeight="1">
      <c r="A73" s="1753" t="s">
        <v>883</v>
      </c>
      <c r="B73" s="1828"/>
      <c r="C73" s="1828"/>
      <c r="D73" s="1828"/>
      <c r="E73" s="1828"/>
      <c r="F73" s="1829"/>
      <c r="G73" s="1796" t="s">
        <v>522</v>
      </c>
      <c r="H73" s="1755"/>
      <c r="K73" s="1060"/>
      <c r="L73" s="224"/>
    </row>
    <row r="74" spans="1:12" s="203" customFormat="1" ht="26.25" customHeight="1" thickBot="1">
      <c r="A74" s="1779" t="s">
        <v>867</v>
      </c>
      <c r="B74" s="1837"/>
      <c r="C74" s="1837"/>
      <c r="D74" s="1837"/>
      <c r="E74" s="1837"/>
      <c r="F74" s="1838"/>
      <c r="G74" s="1782" t="s">
        <v>523</v>
      </c>
      <c r="H74" s="1781"/>
      <c r="K74" s="1060"/>
      <c r="L74" s="224"/>
    </row>
    <row r="75" spans="1:12" ht="19.899999999999999" customHeight="1">
      <c r="A75" s="1921"/>
      <c r="B75" s="1921"/>
      <c r="C75" s="1921"/>
      <c r="D75" s="1921"/>
      <c r="E75" s="1921"/>
      <c r="F75" s="1921"/>
      <c r="G75" s="1922"/>
      <c r="H75" s="1923"/>
    </row>
    <row r="76" spans="1:12" ht="57.6" customHeight="1">
      <c r="A76" s="1759" t="s">
        <v>897</v>
      </c>
      <c r="B76" s="1759"/>
      <c r="C76" s="1759"/>
      <c r="D76" s="1759"/>
      <c r="E76" s="1759"/>
      <c r="F76" s="1759"/>
      <c r="G76" s="1759"/>
      <c r="H76" s="1759"/>
    </row>
    <row r="79" spans="1:12" s="445" customFormat="1">
      <c r="A79" s="919"/>
      <c r="B79" s="920"/>
      <c r="C79" s="921"/>
      <c r="D79" s="922"/>
      <c r="E79" s="922"/>
      <c r="F79" s="901"/>
      <c r="G79" s="885"/>
      <c r="H79" s="923"/>
      <c r="K79" s="1059"/>
      <c r="L79" s="1003"/>
    </row>
    <row r="80" spans="1:12" ht="12.75" customHeight="1">
      <c r="A80" s="892"/>
      <c r="B80" s="903"/>
      <c r="C80" s="904"/>
      <c r="D80" s="905"/>
      <c r="E80" s="905"/>
      <c r="F80" s="906"/>
      <c r="G80" s="895"/>
      <c r="H80" s="896"/>
      <c r="I80" s="1869">
        <v>4</v>
      </c>
    </row>
    <row r="81" spans="1:12" ht="18" customHeight="1">
      <c r="A81" s="1802" t="s">
        <v>79</v>
      </c>
      <c r="B81" s="1802"/>
      <c r="C81" s="1802"/>
      <c r="D81" s="1802"/>
      <c r="E81" s="1802"/>
      <c r="F81" s="1802"/>
      <c r="G81" s="1802"/>
      <c r="H81" s="1802"/>
      <c r="I81" s="1869"/>
    </row>
    <row r="82" spans="1:12" ht="18">
      <c r="A82" s="1802" t="s">
        <v>78</v>
      </c>
      <c r="B82" s="1802"/>
      <c r="C82" s="1802"/>
      <c r="D82" s="1802"/>
      <c r="E82" s="1802"/>
      <c r="F82" s="1802"/>
      <c r="G82" s="1802"/>
      <c r="H82" s="1802"/>
    </row>
    <row r="83" spans="1:12" ht="18">
      <c r="A83" s="1752" t="s">
        <v>174</v>
      </c>
      <c r="B83" s="1557"/>
      <c r="C83" s="1557"/>
      <c r="D83" s="1557"/>
      <c r="E83" s="1557"/>
      <c r="F83" s="1557"/>
      <c r="G83" s="1557"/>
      <c r="H83" s="1557"/>
    </row>
    <row r="84" spans="1:12" ht="20.45" customHeight="1">
      <c r="A84" s="1752" t="s">
        <v>928</v>
      </c>
      <c r="B84" s="1557"/>
      <c r="C84" s="1557"/>
      <c r="D84" s="1557"/>
      <c r="E84" s="1557"/>
      <c r="F84" s="1557"/>
      <c r="G84" s="1557"/>
      <c r="H84" s="1557"/>
    </row>
    <row r="85" spans="1:12" ht="18">
      <c r="A85" s="1752" t="s">
        <v>790</v>
      </c>
      <c r="B85" s="1557"/>
      <c r="C85" s="1557"/>
      <c r="D85" s="1557"/>
      <c r="E85" s="1557"/>
      <c r="F85" s="1557"/>
      <c r="G85" s="1557"/>
      <c r="H85" s="1557"/>
    </row>
    <row r="86" spans="1:12">
      <c r="A86" s="902"/>
      <c r="B86" s="903"/>
      <c r="C86" s="904"/>
      <c r="D86" s="905"/>
      <c r="E86" s="905"/>
      <c r="F86" s="906"/>
      <c r="G86" s="895"/>
      <c r="H86" s="896"/>
    </row>
    <row r="87" spans="1:12" ht="18">
      <c r="A87" s="1887" t="s">
        <v>840</v>
      </c>
      <c r="B87" s="1887"/>
      <c r="C87" s="1887"/>
      <c r="D87" s="1887"/>
      <c r="E87" s="1887"/>
      <c r="F87" s="1887"/>
      <c r="G87" s="1887"/>
      <c r="H87" s="1887"/>
    </row>
    <row r="88" spans="1:12" ht="39.6" customHeight="1">
      <c r="A88" s="1798" t="s">
        <v>733</v>
      </c>
      <c r="B88" s="1799"/>
      <c r="C88" s="1799"/>
      <c r="D88" s="1799"/>
      <c r="E88" s="1799"/>
      <c r="F88" s="1799"/>
      <c r="G88" s="1799"/>
      <c r="H88" s="1799"/>
    </row>
    <row r="89" spans="1:12" ht="13.5" thickBot="1">
      <c r="A89" s="1888" t="s">
        <v>8</v>
      </c>
      <c r="B89" s="1889"/>
      <c r="C89" s="1889"/>
      <c r="D89" s="1889"/>
      <c r="E89" s="1889"/>
      <c r="F89" s="1890"/>
      <c r="G89" s="1768" t="s">
        <v>501</v>
      </c>
      <c r="H89" s="1770" t="s">
        <v>500</v>
      </c>
    </row>
    <row r="90" spans="1:12" ht="60.75" thickBot="1">
      <c r="A90" s="907" t="s">
        <v>796</v>
      </c>
      <c r="B90" s="908" t="s">
        <v>179</v>
      </c>
      <c r="C90" s="908" t="s">
        <v>797</v>
      </c>
      <c r="D90" s="908" t="s">
        <v>21</v>
      </c>
      <c r="E90" s="909" t="s">
        <v>803</v>
      </c>
      <c r="F90" s="910" t="s">
        <v>19</v>
      </c>
      <c r="G90" s="1769"/>
      <c r="H90" s="1817"/>
    </row>
    <row r="91" spans="1:12" ht="15" thickBot="1">
      <c r="A91" s="1078" t="s">
        <v>951</v>
      </c>
      <c r="B91" s="1074" t="s">
        <v>33</v>
      </c>
      <c r="C91" s="1074" t="s">
        <v>33</v>
      </c>
      <c r="D91" s="1074" t="s">
        <v>953</v>
      </c>
      <c r="E91" s="1074" t="s">
        <v>953</v>
      </c>
      <c r="F91" s="1094">
        <v>56305</v>
      </c>
      <c r="G91" s="1095" t="s">
        <v>544</v>
      </c>
      <c r="H91" s="1098">
        <f>50000-H92</f>
        <v>49929.66</v>
      </c>
      <c r="K91" s="203"/>
      <c r="L91" s="203"/>
    </row>
    <row r="92" spans="1:12" s="203" customFormat="1" ht="15.75" thickBot="1">
      <c r="A92" s="1078" t="s">
        <v>951</v>
      </c>
      <c r="B92" s="1074" t="s">
        <v>33</v>
      </c>
      <c r="C92" s="1074" t="s">
        <v>33</v>
      </c>
      <c r="D92" s="1074" t="s">
        <v>953</v>
      </c>
      <c r="E92" s="1074" t="s">
        <v>953</v>
      </c>
      <c r="F92" s="1117">
        <v>55603</v>
      </c>
      <c r="G92" s="1120" t="s">
        <v>924</v>
      </c>
      <c r="H92" s="1121">
        <f>16.95*4+2.54</f>
        <v>70.34</v>
      </c>
      <c r="K92" s="1058"/>
      <c r="L92" s="201"/>
    </row>
    <row r="93" spans="1:12" ht="15.75" thickBot="1">
      <c r="A93" s="1885" t="s">
        <v>165</v>
      </c>
      <c r="B93" s="1886"/>
      <c r="C93" s="1886"/>
      <c r="D93" s="1886"/>
      <c r="E93" s="1886"/>
      <c r="F93" s="1886"/>
      <c r="G93" s="1122"/>
      <c r="H93" s="1123">
        <f>SUM(H91:H92)</f>
        <v>50000</v>
      </c>
    </row>
    <row r="94" spans="1:12" ht="26.25" customHeight="1" thickBot="1">
      <c r="A94" s="892"/>
      <c r="B94" s="892"/>
      <c r="C94" s="893"/>
      <c r="D94" s="894"/>
      <c r="E94" s="894"/>
      <c r="F94" s="911"/>
      <c r="G94" s="895"/>
      <c r="H94" s="896"/>
    </row>
    <row r="95" spans="1:12">
      <c r="A95" s="1771" t="s">
        <v>837</v>
      </c>
      <c r="B95" s="1772"/>
      <c r="C95" s="1772"/>
      <c r="D95" s="1772"/>
      <c r="E95" s="1772"/>
      <c r="F95" s="1773"/>
      <c r="G95" s="1774" t="s">
        <v>1008</v>
      </c>
      <c r="H95" s="1775"/>
    </row>
    <row r="96" spans="1:12">
      <c r="A96" s="1753" t="s">
        <v>841</v>
      </c>
      <c r="B96" s="1754"/>
      <c r="C96" s="1754"/>
      <c r="D96" s="1754"/>
      <c r="E96" s="1754"/>
      <c r="F96" s="1755"/>
      <c r="G96" s="1753" t="s">
        <v>839</v>
      </c>
      <c r="H96" s="1755"/>
    </row>
    <row r="97" spans="1:12" ht="28.5" customHeight="1">
      <c r="A97" s="1756" t="s">
        <v>888</v>
      </c>
      <c r="B97" s="1757"/>
      <c r="C97" s="1757"/>
      <c r="D97" s="1757"/>
      <c r="E97" s="1757"/>
      <c r="F97" s="1758"/>
      <c r="G97" s="1796" t="s">
        <v>522</v>
      </c>
      <c r="H97" s="1755"/>
      <c r="K97" s="538"/>
      <c r="L97" s="538"/>
    </row>
    <row r="98" spans="1:12" s="538" customFormat="1" ht="28.15" customHeight="1" thickBot="1">
      <c r="A98" s="1779" t="s">
        <v>866</v>
      </c>
      <c r="B98" s="1780"/>
      <c r="C98" s="1780"/>
      <c r="D98" s="1780"/>
      <c r="E98" s="1780"/>
      <c r="F98" s="1781"/>
      <c r="G98" s="1782" t="s">
        <v>523</v>
      </c>
      <c r="H98" s="1781"/>
      <c r="K98" s="1061"/>
      <c r="L98" s="886"/>
    </row>
    <row r="99" spans="1:12" s="538" customFormat="1" ht="21.75" customHeight="1">
      <c r="A99" s="892"/>
      <c r="B99" s="903"/>
      <c r="C99" s="904"/>
      <c r="D99" s="905"/>
      <c r="E99" s="905"/>
      <c r="F99" s="906"/>
      <c r="G99" s="895"/>
      <c r="H99" s="896"/>
      <c r="K99" s="1061"/>
      <c r="L99" s="886"/>
    </row>
    <row r="100" spans="1:12" s="538" customFormat="1" ht="38.450000000000003" customHeight="1">
      <c r="A100" s="1759" t="s">
        <v>897</v>
      </c>
      <c r="B100" s="1759"/>
      <c r="C100" s="1759"/>
      <c r="D100" s="1759"/>
      <c r="E100" s="1759"/>
      <c r="F100" s="1759"/>
      <c r="G100" s="1759"/>
      <c r="H100" s="1759"/>
      <c r="K100" s="1061"/>
      <c r="L100" s="886"/>
    </row>
    <row r="101" spans="1:12" ht="9.75" customHeight="1"/>
    <row r="102" spans="1:12" s="445" customFormat="1">
      <c r="A102" s="919"/>
      <c r="B102" s="920"/>
      <c r="C102" s="921"/>
      <c r="D102" s="922"/>
      <c r="E102" s="922"/>
      <c r="F102" s="901"/>
      <c r="G102" s="885"/>
      <c r="H102" s="923"/>
      <c r="K102" s="1059"/>
      <c r="L102" s="1003"/>
    </row>
    <row r="103" spans="1:12" s="445" customFormat="1">
      <c r="A103" s="919"/>
      <c r="B103" s="920"/>
      <c r="C103" s="921"/>
      <c r="D103" s="922"/>
      <c r="E103" s="922"/>
      <c r="F103" s="901"/>
      <c r="G103" s="885"/>
      <c r="H103" s="923"/>
      <c r="K103" s="1059"/>
      <c r="L103" s="1003"/>
    </row>
    <row r="104" spans="1:12" ht="5.25" customHeight="1">
      <c r="A104" s="892"/>
      <c r="B104" s="903"/>
      <c r="C104" s="904"/>
      <c r="D104" s="905"/>
      <c r="E104" s="905"/>
      <c r="F104" s="906"/>
      <c r="G104" s="895"/>
      <c r="H104" s="896"/>
      <c r="I104" s="1869">
        <v>5</v>
      </c>
    </row>
    <row r="105" spans="1:12" ht="18" customHeight="1">
      <c r="A105" s="1802" t="s">
        <v>79</v>
      </c>
      <c r="B105" s="1802"/>
      <c r="C105" s="1802"/>
      <c r="D105" s="1802"/>
      <c r="E105" s="1802"/>
      <c r="F105" s="1802"/>
      <c r="G105" s="1802"/>
      <c r="H105" s="1802"/>
      <c r="I105" s="1869"/>
    </row>
    <row r="106" spans="1:12" ht="18">
      <c r="A106" s="1802" t="s">
        <v>78</v>
      </c>
      <c r="B106" s="1802"/>
      <c r="C106" s="1802"/>
      <c r="D106" s="1802"/>
      <c r="E106" s="1802"/>
      <c r="F106" s="1802"/>
      <c r="G106" s="1802"/>
      <c r="H106" s="1802"/>
    </row>
    <row r="107" spans="1:12" ht="18">
      <c r="A107" s="1752" t="s">
        <v>174</v>
      </c>
      <c r="B107" s="1557"/>
      <c r="C107" s="1557"/>
      <c r="D107" s="1557"/>
      <c r="E107" s="1557"/>
      <c r="F107" s="1557"/>
      <c r="G107" s="1557"/>
      <c r="H107" s="1557"/>
    </row>
    <row r="108" spans="1:12" ht="20.45" customHeight="1">
      <c r="A108" s="1752" t="s">
        <v>928</v>
      </c>
      <c r="B108" s="1557"/>
      <c r="C108" s="1557"/>
      <c r="D108" s="1557"/>
      <c r="E108" s="1557"/>
      <c r="F108" s="1557"/>
      <c r="G108" s="1557"/>
      <c r="H108" s="1557"/>
    </row>
    <row r="109" spans="1:12" ht="18">
      <c r="A109" s="1752" t="s">
        <v>790</v>
      </c>
      <c r="B109" s="1557"/>
      <c r="C109" s="1557"/>
      <c r="D109" s="1557"/>
      <c r="E109" s="1557"/>
      <c r="F109" s="1557"/>
      <c r="G109" s="1557"/>
      <c r="H109" s="1557"/>
    </row>
    <row r="110" spans="1:12" ht="12.75" customHeight="1">
      <c r="A110" s="902"/>
      <c r="B110" s="903"/>
      <c r="C110" s="904"/>
      <c r="D110" s="905"/>
      <c r="E110" s="905"/>
      <c r="F110" s="906"/>
      <c r="G110" s="895"/>
      <c r="H110" s="896"/>
    </row>
    <row r="111" spans="1:12" ht="18">
      <c r="A111" s="1887" t="s">
        <v>840</v>
      </c>
      <c r="B111" s="1887"/>
      <c r="C111" s="1887"/>
      <c r="D111" s="1887"/>
      <c r="E111" s="1887"/>
      <c r="F111" s="1887"/>
      <c r="G111" s="1887"/>
      <c r="H111" s="1887"/>
    </row>
    <row r="112" spans="1:12" ht="39.6" customHeight="1">
      <c r="A112" s="1798" t="s">
        <v>1020</v>
      </c>
      <c r="B112" s="1799"/>
      <c r="C112" s="1799"/>
      <c r="D112" s="1799"/>
      <c r="E112" s="1799"/>
      <c r="F112" s="1799"/>
      <c r="G112" s="1799"/>
      <c r="H112" s="1799"/>
    </row>
    <row r="113" spans="1:12" ht="15" thickBot="1">
      <c r="A113" s="1888" t="s">
        <v>8</v>
      </c>
      <c r="B113" s="1889"/>
      <c r="C113" s="1889"/>
      <c r="D113" s="1889"/>
      <c r="E113" s="1889"/>
      <c r="F113" s="1890"/>
      <c r="G113" s="1768" t="s">
        <v>501</v>
      </c>
      <c r="H113" s="1770" t="s">
        <v>500</v>
      </c>
      <c r="K113" s="44"/>
      <c r="L113" s="1062"/>
    </row>
    <row r="114" spans="1:12" ht="60.75" thickBot="1">
      <c r="A114" s="907" t="s">
        <v>796</v>
      </c>
      <c r="B114" s="908" t="s">
        <v>179</v>
      </c>
      <c r="C114" s="908" t="s">
        <v>797</v>
      </c>
      <c r="D114" s="908" t="s">
        <v>21</v>
      </c>
      <c r="E114" s="909" t="s">
        <v>803</v>
      </c>
      <c r="F114" s="910" t="s">
        <v>19</v>
      </c>
      <c r="G114" s="1769"/>
      <c r="H114" s="1817"/>
    </row>
    <row r="115" spans="1:12" ht="15" thickBot="1">
      <c r="A115" s="1078" t="s">
        <v>1085</v>
      </c>
      <c r="B115" s="1074" t="s">
        <v>33</v>
      </c>
      <c r="C115" s="1074" t="s">
        <v>33</v>
      </c>
      <c r="D115" s="1074" t="s">
        <v>953</v>
      </c>
      <c r="E115" s="1074" t="s">
        <v>953</v>
      </c>
      <c r="F115" s="1090">
        <v>54201</v>
      </c>
      <c r="G115" s="1096" t="s">
        <v>957</v>
      </c>
      <c r="H115" s="1098">
        <v>11000</v>
      </c>
    </row>
    <row r="116" spans="1:12" ht="15" thickBot="1">
      <c r="A116" s="1078" t="s">
        <v>1085</v>
      </c>
      <c r="B116" s="1074" t="s">
        <v>35</v>
      </c>
      <c r="C116" s="1074" t="s">
        <v>33</v>
      </c>
      <c r="D116" s="1074" t="s">
        <v>953</v>
      </c>
      <c r="E116" s="1074" t="s">
        <v>953</v>
      </c>
      <c r="F116" s="1090">
        <v>54202</v>
      </c>
      <c r="G116" s="1097" t="s">
        <v>958</v>
      </c>
      <c r="H116" s="1099">
        <v>8000</v>
      </c>
    </row>
    <row r="117" spans="1:12" ht="15" thickBot="1">
      <c r="A117" s="1078" t="s">
        <v>1085</v>
      </c>
      <c r="B117" s="1074" t="s">
        <v>1086</v>
      </c>
      <c r="C117" s="1074" t="s">
        <v>33</v>
      </c>
      <c r="D117" s="1074" t="s">
        <v>953</v>
      </c>
      <c r="E117" s="1074" t="s">
        <v>953</v>
      </c>
      <c r="F117" s="1090">
        <v>54203</v>
      </c>
      <c r="G117" s="1097" t="s">
        <v>959</v>
      </c>
      <c r="H117" s="1099">
        <v>19500</v>
      </c>
    </row>
    <row r="118" spans="1:12" s="203" customFormat="1" ht="15.75" thickBot="1">
      <c r="A118" s="1078" t="s">
        <v>1085</v>
      </c>
      <c r="B118" s="1074" t="s">
        <v>33</v>
      </c>
      <c r="C118" s="1074" t="s">
        <v>33</v>
      </c>
      <c r="D118" s="1074" t="s">
        <v>953</v>
      </c>
      <c r="E118" s="1074" t="s">
        <v>953</v>
      </c>
      <c r="F118" s="1117">
        <v>55603</v>
      </c>
      <c r="G118" s="1093" t="s">
        <v>924</v>
      </c>
      <c r="H118" s="1124">
        <f>19.95</f>
        <v>19.95</v>
      </c>
      <c r="K118" s="1058"/>
      <c r="L118" s="201"/>
    </row>
    <row r="119" spans="1:12" ht="15.75" thickBot="1">
      <c r="A119" s="1885" t="s">
        <v>165</v>
      </c>
      <c r="B119" s="1886"/>
      <c r="C119" s="1886"/>
      <c r="D119" s="1886"/>
      <c r="E119" s="1886"/>
      <c r="F119" s="1886"/>
      <c r="G119" s="1122"/>
      <c r="H119" s="1123">
        <f>SUM(H115:H118)</f>
        <v>38519.949999999997</v>
      </c>
    </row>
    <row r="120" spans="1:12" ht="18" customHeight="1" thickBot="1">
      <c r="A120" s="892"/>
      <c r="B120" s="892"/>
      <c r="C120" s="893"/>
      <c r="D120" s="894"/>
      <c r="E120" s="894"/>
      <c r="F120" s="911"/>
      <c r="G120" s="895"/>
      <c r="H120" s="896"/>
    </row>
    <row r="121" spans="1:12" ht="23.25" customHeight="1">
      <c r="A121" s="1771" t="s">
        <v>837</v>
      </c>
      <c r="B121" s="1772"/>
      <c r="C121" s="1772"/>
      <c r="D121" s="1772"/>
      <c r="E121" s="1772"/>
      <c r="F121" s="1773"/>
      <c r="G121" s="1774" t="s">
        <v>1008</v>
      </c>
      <c r="H121" s="1775"/>
    </row>
    <row r="122" spans="1:12" ht="19.5" customHeight="1">
      <c r="A122" s="1753" t="s">
        <v>841</v>
      </c>
      <c r="B122" s="1754"/>
      <c r="C122" s="1754"/>
      <c r="D122" s="1754"/>
      <c r="E122" s="1754"/>
      <c r="F122" s="1755"/>
      <c r="G122" s="1753" t="s">
        <v>839</v>
      </c>
      <c r="H122" s="1755"/>
    </row>
    <row r="123" spans="1:12" ht="30.75" customHeight="1">
      <c r="A123" s="1756" t="s">
        <v>1081</v>
      </c>
      <c r="B123" s="1757"/>
      <c r="C123" s="1757"/>
      <c r="D123" s="1757"/>
      <c r="E123" s="1757"/>
      <c r="F123" s="1758"/>
      <c r="G123" s="1796" t="s">
        <v>522</v>
      </c>
      <c r="H123" s="1755"/>
    </row>
    <row r="124" spans="1:12" s="538" customFormat="1" ht="28.15" customHeight="1" thickBot="1">
      <c r="A124" s="1779" t="s">
        <v>866</v>
      </c>
      <c r="B124" s="1780"/>
      <c r="C124" s="1780"/>
      <c r="D124" s="1780"/>
      <c r="E124" s="1780"/>
      <c r="F124" s="1781"/>
      <c r="G124" s="1782" t="s">
        <v>523</v>
      </c>
      <c r="H124" s="1781"/>
      <c r="K124" s="1061"/>
      <c r="L124" s="886"/>
    </row>
    <row r="125" spans="1:12" s="538" customFormat="1" ht="21.75" customHeight="1">
      <c r="A125" s="892"/>
      <c r="B125" s="903"/>
      <c r="C125" s="904"/>
      <c r="D125" s="905"/>
      <c r="E125" s="905"/>
      <c r="F125" s="906"/>
      <c r="G125" s="895"/>
      <c r="H125" s="896"/>
      <c r="K125" s="1061"/>
      <c r="L125" s="886"/>
    </row>
    <row r="126" spans="1:12" s="538" customFormat="1" ht="38.450000000000003" customHeight="1">
      <c r="A126" s="1759" t="s">
        <v>897</v>
      </c>
      <c r="B126" s="1759"/>
      <c r="C126" s="1759"/>
      <c r="D126" s="1759"/>
      <c r="E126" s="1759"/>
      <c r="F126" s="1759"/>
      <c r="G126" s="1759"/>
      <c r="H126" s="1759"/>
      <c r="K126" s="1061"/>
      <c r="L126" s="886"/>
    </row>
    <row r="127" spans="1:12" s="445" customFormat="1">
      <c r="A127" s="919"/>
      <c r="B127" s="920"/>
      <c r="C127" s="921"/>
      <c r="D127" s="922"/>
      <c r="E127" s="922"/>
      <c r="F127" s="901"/>
      <c r="G127" s="885"/>
      <c r="H127" s="923"/>
      <c r="K127" s="1059"/>
      <c r="L127" s="1003"/>
    </row>
    <row r="128" spans="1:12" s="445" customFormat="1">
      <c r="A128" s="919"/>
      <c r="B128" s="920"/>
      <c r="C128" s="921"/>
      <c r="D128" s="922"/>
      <c r="E128" s="922"/>
      <c r="F128" s="901"/>
      <c r="G128" s="885"/>
      <c r="H128" s="923"/>
      <c r="K128" s="1059"/>
      <c r="L128" s="1003"/>
    </row>
    <row r="129" spans="1:9">
      <c r="I129" s="1869">
        <v>6</v>
      </c>
    </row>
    <row r="130" spans="1:9" ht="18">
      <c r="A130" s="1802" t="s">
        <v>79</v>
      </c>
      <c r="B130" s="1802"/>
      <c r="C130" s="1802"/>
      <c r="D130" s="1802"/>
      <c r="E130" s="1802"/>
      <c r="F130" s="1802"/>
      <c r="G130" s="1802"/>
      <c r="H130" s="1802"/>
      <c r="I130" s="1869"/>
    </row>
    <row r="131" spans="1:9" ht="18">
      <c r="A131" s="1802" t="s">
        <v>78</v>
      </c>
      <c r="B131" s="1802"/>
      <c r="C131" s="1802"/>
      <c r="D131" s="1802"/>
      <c r="E131" s="1802"/>
      <c r="F131" s="1802"/>
      <c r="G131" s="1802"/>
      <c r="H131" s="1802"/>
    </row>
    <row r="132" spans="1:9" ht="18">
      <c r="A132" s="1752" t="s">
        <v>174</v>
      </c>
      <c r="B132" s="1557"/>
      <c r="C132" s="1557"/>
      <c r="D132" s="1557"/>
      <c r="E132" s="1557"/>
      <c r="F132" s="1557"/>
      <c r="G132" s="1557"/>
      <c r="H132" s="1557"/>
    </row>
    <row r="133" spans="1:9" ht="18">
      <c r="A133" s="1752" t="s">
        <v>928</v>
      </c>
      <c r="B133" s="1557"/>
      <c r="C133" s="1557"/>
      <c r="D133" s="1557"/>
      <c r="E133" s="1557"/>
      <c r="F133" s="1557"/>
      <c r="G133" s="1557"/>
      <c r="H133" s="1557"/>
    </row>
    <row r="134" spans="1:9" ht="18">
      <c r="A134" s="1752" t="s">
        <v>790</v>
      </c>
      <c r="B134" s="1557"/>
      <c r="C134" s="1557"/>
      <c r="D134" s="1557"/>
      <c r="E134" s="1557"/>
      <c r="F134" s="1557"/>
      <c r="G134" s="1557"/>
      <c r="H134" s="1557"/>
    </row>
    <row r="135" spans="1:9">
      <c r="A135" s="902"/>
      <c r="B135" s="903"/>
      <c r="C135" s="904"/>
      <c r="D135" s="905"/>
      <c r="E135" s="905"/>
      <c r="F135" s="906"/>
      <c r="G135" s="895"/>
      <c r="H135" s="896"/>
    </row>
    <row r="136" spans="1:9" ht="18">
      <c r="A136" s="1887" t="s">
        <v>840</v>
      </c>
      <c r="B136" s="1887"/>
      <c r="C136" s="1887"/>
      <c r="D136" s="1887"/>
      <c r="E136" s="1887"/>
      <c r="F136" s="1887"/>
      <c r="G136" s="1887"/>
      <c r="H136" s="1887"/>
    </row>
    <row r="137" spans="1:9" ht="18">
      <c r="A137" s="1798" t="s">
        <v>1078</v>
      </c>
      <c r="B137" s="1799"/>
      <c r="C137" s="1799"/>
      <c r="D137" s="1799"/>
      <c r="E137" s="1799"/>
      <c r="F137" s="1799"/>
      <c r="G137" s="1799"/>
      <c r="H137" s="1799"/>
    </row>
    <row r="138" spans="1:9" ht="13.5" thickBot="1">
      <c r="A138" s="1888" t="s">
        <v>8</v>
      </c>
      <c r="B138" s="1889"/>
      <c r="C138" s="1889"/>
      <c r="D138" s="1889"/>
      <c r="E138" s="1889"/>
      <c r="F138" s="1890"/>
      <c r="G138" s="1768" t="s">
        <v>501</v>
      </c>
      <c r="H138" s="1770" t="s">
        <v>500</v>
      </c>
    </row>
    <row r="139" spans="1:9" ht="60.75" thickBot="1">
      <c r="A139" s="907" t="s">
        <v>796</v>
      </c>
      <c r="B139" s="908" t="s">
        <v>179</v>
      </c>
      <c r="C139" s="908" t="s">
        <v>797</v>
      </c>
      <c r="D139" s="908" t="s">
        <v>21</v>
      </c>
      <c r="E139" s="909" t="s">
        <v>803</v>
      </c>
      <c r="F139" s="910" t="s">
        <v>19</v>
      </c>
      <c r="G139" s="1769"/>
      <c r="H139" s="1817"/>
    </row>
    <row r="140" spans="1:9" ht="15" thickBot="1">
      <c r="A140" s="1078" t="s">
        <v>951</v>
      </c>
      <c r="B140" s="1074" t="s">
        <v>952</v>
      </c>
      <c r="C140" s="1074" t="s">
        <v>33</v>
      </c>
      <c r="D140" s="1074" t="s">
        <v>953</v>
      </c>
      <c r="E140" s="1074" t="s">
        <v>953</v>
      </c>
      <c r="F140" s="1134">
        <v>54101</v>
      </c>
      <c r="G140" s="1138" t="s">
        <v>1076</v>
      </c>
      <c r="H140" s="1136">
        <v>5000</v>
      </c>
    </row>
    <row r="141" spans="1:9" ht="15" thickBot="1">
      <c r="A141" s="1078" t="s">
        <v>951</v>
      </c>
      <c r="B141" s="1074" t="s">
        <v>952</v>
      </c>
      <c r="C141" s="1074" t="s">
        <v>33</v>
      </c>
      <c r="D141" s="1074" t="s">
        <v>953</v>
      </c>
      <c r="E141" s="1074" t="s">
        <v>953</v>
      </c>
      <c r="F141" s="1134">
        <v>56304</v>
      </c>
      <c r="G141" s="1139" t="s">
        <v>545</v>
      </c>
      <c r="H141" s="1137">
        <f>12480.05-2500</f>
        <v>9980.0499999999993</v>
      </c>
    </row>
    <row r="142" spans="1:9" ht="15" thickBot="1">
      <c r="A142" s="1078" t="s">
        <v>951</v>
      </c>
      <c r="B142" s="1074" t="s">
        <v>952</v>
      </c>
      <c r="C142" s="1074" t="s">
        <v>33</v>
      </c>
      <c r="D142" s="1074" t="s">
        <v>953</v>
      </c>
      <c r="E142" s="1074" t="s">
        <v>953</v>
      </c>
      <c r="F142" s="1134">
        <v>55603</v>
      </c>
      <c r="G142" s="1139" t="s">
        <v>990</v>
      </c>
      <c r="H142" s="1137">
        <v>19.95</v>
      </c>
    </row>
    <row r="143" spans="1:9" ht="15.75" thickBot="1">
      <c r="A143" s="1885" t="s">
        <v>165</v>
      </c>
      <c r="B143" s="1886"/>
      <c r="C143" s="1886"/>
      <c r="D143" s="1886"/>
      <c r="E143" s="1886"/>
      <c r="F143" s="1886"/>
      <c r="G143" s="1122"/>
      <c r="H143" s="1123">
        <f>SUM(H140:H142)</f>
        <v>15000</v>
      </c>
    </row>
    <row r="144" spans="1:9" ht="13.5" thickBot="1">
      <c r="A144" s="892"/>
      <c r="B144" s="892"/>
      <c r="C144" s="893"/>
      <c r="D144" s="894"/>
      <c r="E144" s="894"/>
      <c r="F144" s="911"/>
      <c r="G144" s="895"/>
      <c r="H144" s="896"/>
    </row>
    <row r="145" spans="1:8">
      <c r="A145" s="1771" t="s">
        <v>837</v>
      </c>
      <c r="B145" s="1772"/>
      <c r="C145" s="1772"/>
      <c r="D145" s="1772"/>
      <c r="E145" s="1772"/>
      <c r="F145" s="1773"/>
      <c r="G145" s="1774" t="s">
        <v>1008</v>
      </c>
      <c r="H145" s="1775"/>
    </row>
    <row r="146" spans="1:8">
      <c r="A146" s="1753" t="s">
        <v>841</v>
      </c>
      <c r="B146" s="1754"/>
      <c r="C146" s="1754"/>
      <c r="D146" s="1754"/>
      <c r="E146" s="1754"/>
      <c r="F146" s="1755"/>
      <c r="G146" s="1753" t="s">
        <v>839</v>
      </c>
      <c r="H146" s="1755"/>
    </row>
    <row r="147" spans="1:8" ht="25.5" customHeight="1">
      <c r="A147" s="1756" t="s">
        <v>1079</v>
      </c>
      <c r="B147" s="1757"/>
      <c r="C147" s="1757"/>
      <c r="D147" s="1757"/>
      <c r="E147" s="1757"/>
      <c r="F147" s="1758"/>
      <c r="G147" s="1796" t="s">
        <v>522</v>
      </c>
      <c r="H147" s="1755"/>
    </row>
    <row r="148" spans="1:8" ht="13.5" thickBot="1">
      <c r="A148" s="1779" t="s">
        <v>866</v>
      </c>
      <c r="B148" s="1780"/>
      <c r="C148" s="1780"/>
      <c r="D148" s="1780"/>
      <c r="E148" s="1780"/>
      <c r="F148" s="1781"/>
      <c r="G148" s="1782" t="s">
        <v>523</v>
      </c>
      <c r="H148" s="1781"/>
    </row>
    <row r="149" spans="1:8">
      <c r="A149" s="892"/>
      <c r="B149" s="903"/>
      <c r="C149" s="904"/>
      <c r="D149" s="905"/>
      <c r="E149" s="905"/>
      <c r="F149" s="906"/>
      <c r="G149" s="895"/>
      <c r="H149" s="896"/>
    </row>
    <row r="150" spans="1:8" ht="41.25" customHeight="1">
      <c r="A150" s="1759" t="s">
        <v>897</v>
      </c>
      <c r="B150" s="1759"/>
      <c r="C150" s="1759"/>
      <c r="D150" s="1759"/>
      <c r="E150" s="1759"/>
      <c r="F150" s="1759"/>
      <c r="G150" s="1759"/>
      <c r="H150" s="1759"/>
    </row>
  </sheetData>
  <mergeCells count="129">
    <mergeCell ref="A124:F124"/>
    <mergeCell ref="G124:H124"/>
    <mergeCell ref="A126:H126"/>
    <mergeCell ref="A119:F119"/>
    <mergeCell ref="A121:F121"/>
    <mergeCell ref="G121:H121"/>
    <mergeCell ref="A122:F122"/>
    <mergeCell ref="G122:H122"/>
    <mergeCell ref="A123:F123"/>
    <mergeCell ref="G123:H123"/>
    <mergeCell ref="A107:H107"/>
    <mergeCell ref="A108:H108"/>
    <mergeCell ref="A109:H109"/>
    <mergeCell ref="A111:H111"/>
    <mergeCell ref="A112:H112"/>
    <mergeCell ref="A113:F113"/>
    <mergeCell ref="G113:G114"/>
    <mergeCell ref="H113:H114"/>
    <mergeCell ref="I104:I105"/>
    <mergeCell ref="A105:H105"/>
    <mergeCell ref="A106:H106"/>
    <mergeCell ref="A73:F73"/>
    <mergeCell ref="G73:H73"/>
    <mergeCell ref="A74:F74"/>
    <mergeCell ref="G74:H74"/>
    <mergeCell ref="A75:F75"/>
    <mergeCell ref="G75:H75"/>
    <mergeCell ref="H63:H64"/>
    <mergeCell ref="A69:F69"/>
    <mergeCell ref="A71:F71"/>
    <mergeCell ref="G71:H71"/>
    <mergeCell ref="A72:F72"/>
    <mergeCell ref="G72:H72"/>
    <mergeCell ref="A98:F98"/>
    <mergeCell ref="G98:H98"/>
    <mergeCell ref="A100:H100"/>
    <mergeCell ref="A51:H51"/>
    <mergeCell ref="A55:H55"/>
    <mergeCell ref="I55:I56"/>
    <mergeCell ref="A56:H56"/>
    <mergeCell ref="A57:H57"/>
    <mergeCell ref="A58:H58"/>
    <mergeCell ref="A59:H59"/>
    <mergeCell ref="A93:F93"/>
    <mergeCell ref="A95:F95"/>
    <mergeCell ref="G95:H95"/>
    <mergeCell ref="A96:F96"/>
    <mergeCell ref="G96:H96"/>
    <mergeCell ref="A97:F97"/>
    <mergeCell ref="G97:H97"/>
    <mergeCell ref="A84:H84"/>
    <mergeCell ref="A85:H85"/>
    <mergeCell ref="A87:H87"/>
    <mergeCell ref="A88:H88"/>
    <mergeCell ref="A89:F89"/>
    <mergeCell ref="G89:G90"/>
    <mergeCell ref="H89:H90"/>
    <mergeCell ref="I1:I2"/>
    <mergeCell ref="I80:I81"/>
    <mergeCell ref="A81:H81"/>
    <mergeCell ref="A82:H82"/>
    <mergeCell ref="A83:H83"/>
    <mergeCell ref="A61:H61"/>
    <mergeCell ref="A62:H62"/>
    <mergeCell ref="A63:F63"/>
    <mergeCell ref="G63:G64"/>
    <mergeCell ref="A21:F21"/>
    <mergeCell ref="G21:H21"/>
    <mergeCell ref="A22:F22"/>
    <mergeCell ref="G22:H22"/>
    <mergeCell ref="A23:F23"/>
    <mergeCell ref="G23:H23"/>
    <mergeCell ref="A9:H9"/>
    <mergeCell ref="A10:F10"/>
    <mergeCell ref="G10:G11"/>
    <mergeCell ref="H10:H11"/>
    <mergeCell ref="A18:F18"/>
    <mergeCell ref="A20:F20"/>
    <mergeCell ref="G20:H20"/>
    <mergeCell ref="A2:H2"/>
    <mergeCell ref="A76:H76"/>
    <mergeCell ref="A49:F49"/>
    <mergeCell ref="G49:H49"/>
    <mergeCell ref="A46:F46"/>
    <mergeCell ref="G46:H46"/>
    <mergeCell ref="A47:F47"/>
    <mergeCell ref="G47:H47"/>
    <mergeCell ref="A48:F48"/>
    <mergeCell ref="G48:H48"/>
    <mergeCell ref="A36:H36"/>
    <mergeCell ref="A37:H37"/>
    <mergeCell ref="A38:F38"/>
    <mergeCell ref="G38:G39"/>
    <mergeCell ref="H38:H39"/>
    <mergeCell ref="A44:F44"/>
    <mergeCell ref="I28:I29"/>
    <mergeCell ref="A30:H30"/>
    <mergeCell ref="A31:H31"/>
    <mergeCell ref="A32:H32"/>
    <mergeCell ref="A33:H33"/>
    <mergeCell ref="A34:H34"/>
    <mergeCell ref="A3:H3"/>
    <mergeCell ref="A4:H4"/>
    <mergeCell ref="A5:H5"/>
    <mergeCell ref="A6:H6"/>
    <mergeCell ref="A8:H8"/>
    <mergeCell ref="A25:H25"/>
    <mergeCell ref="A19:H19"/>
    <mergeCell ref="A150:H150"/>
    <mergeCell ref="I129:I130"/>
    <mergeCell ref="A143:F143"/>
    <mergeCell ref="A145:F145"/>
    <mergeCell ref="G145:H145"/>
    <mergeCell ref="A146:F146"/>
    <mergeCell ref="G146:H146"/>
    <mergeCell ref="A147:F147"/>
    <mergeCell ref="G147:H147"/>
    <mergeCell ref="A148:F148"/>
    <mergeCell ref="G148:H148"/>
    <mergeCell ref="A130:H130"/>
    <mergeCell ref="A131:H131"/>
    <mergeCell ref="A132:H132"/>
    <mergeCell ref="A133:H133"/>
    <mergeCell ref="A134:H134"/>
    <mergeCell ref="A136:H136"/>
    <mergeCell ref="A137:H137"/>
    <mergeCell ref="A138:F138"/>
    <mergeCell ref="G138:G139"/>
    <mergeCell ref="H138:H139"/>
  </mergeCells>
  <pageMargins left="0.51181102362204722" right="0.31496062992125984" top="0.74803149606299213" bottom="0.74803149606299213" header="0.31496062992125984" footer="0.31496062992125984"/>
  <pageSetup paperSize="9" scale="85" orientation="portrait" horizontalDpi="0" verticalDpi="0" r:id="rId1"/>
  <rowBreaks count="3" manualBreakCount="3">
    <brk id="28" max="16383" man="1"/>
    <brk id="54" max="16383" man="1"/>
    <brk id="101" max="16383" man="1"/>
  </rowBreaks>
  <colBreaks count="1" manualBreakCount="1">
    <brk id="8"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M14"/>
  <sheetViews>
    <sheetView workbookViewId="0">
      <selection activeCell="K13" sqref="A2:K13"/>
    </sheetView>
  </sheetViews>
  <sheetFormatPr baseColWidth="10" defaultRowHeight="12.75"/>
  <cols>
    <col min="1" max="1" width="4.28515625" style="642" customWidth="1"/>
    <col min="2" max="2" width="50.85546875" style="185" customWidth="1"/>
    <col min="3" max="7" width="4.7109375" style="190" customWidth="1"/>
    <col min="8" max="8" width="18.140625" style="188" customWidth="1"/>
    <col min="9" max="9" width="15.42578125" style="189" customWidth="1"/>
    <col min="10" max="10" width="16.42578125" style="186" customWidth="1"/>
    <col min="11" max="11" width="15.7109375" style="187" customWidth="1"/>
    <col min="12" max="12" width="13.140625" style="414" hidden="1" customWidth="1"/>
    <col min="13" max="13" width="25.5703125" style="538" customWidth="1"/>
    <col min="14" max="14" width="15.7109375" customWidth="1"/>
    <col min="17" max="17" width="12.85546875" customWidth="1"/>
    <col min="18" max="18" width="14" customWidth="1"/>
  </cols>
  <sheetData>
    <row r="3" spans="1:13" ht="21.75" customHeight="1">
      <c r="B3" s="1741" t="s">
        <v>595</v>
      </c>
      <c r="C3" s="1741"/>
      <c r="D3" s="1741"/>
      <c r="E3" s="1741"/>
      <c r="F3" s="1741"/>
      <c r="G3" s="1741"/>
      <c r="H3" s="1741"/>
      <c r="I3" s="1741"/>
      <c r="J3" s="1741"/>
      <c r="K3" s="1741"/>
      <c r="L3" s="450"/>
    </row>
    <row r="4" spans="1:13" ht="21.75" customHeight="1">
      <c r="B4" s="1750" t="s">
        <v>991</v>
      </c>
      <c r="C4" s="1750"/>
      <c r="D4" s="1750"/>
      <c r="E4" s="1750"/>
      <c r="F4" s="1750"/>
      <c r="G4" s="1750"/>
      <c r="H4" s="1750"/>
      <c r="I4" s="1750"/>
      <c r="J4" s="1750"/>
      <c r="K4" s="1750"/>
      <c r="L4" s="450"/>
    </row>
    <row r="5" spans="1:13" ht="21.75" customHeight="1">
      <c r="B5" s="1741" t="s">
        <v>596</v>
      </c>
      <c r="C5" s="1741"/>
      <c r="D5" s="1741"/>
      <c r="E5" s="1741"/>
      <c r="F5" s="1741"/>
      <c r="G5" s="1741"/>
      <c r="H5" s="1741"/>
      <c r="I5" s="1741"/>
      <c r="J5" s="1741"/>
      <c r="K5" s="1741"/>
    </row>
    <row r="6" spans="1:13" ht="21.75" customHeight="1">
      <c r="A6" s="1749" t="s">
        <v>190</v>
      </c>
      <c r="B6" s="1749"/>
      <c r="C6" s="1749"/>
      <c r="D6" s="1749"/>
      <c r="E6" s="1749"/>
      <c r="F6" s="1749"/>
      <c r="G6" s="1749"/>
      <c r="H6" s="1749"/>
      <c r="I6" s="1749"/>
      <c r="J6" s="1749"/>
      <c r="K6" s="1749"/>
    </row>
    <row r="7" spans="1:13" ht="21.75" customHeight="1">
      <c r="B7" s="1056"/>
      <c r="C7" s="1056"/>
      <c r="D7" s="1056"/>
      <c r="E7" s="1056"/>
      <c r="F7" s="1056"/>
      <c r="G7" s="1056"/>
      <c r="H7" s="1056"/>
      <c r="I7" s="1056"/>
      <c r="J7" s="1056"/>
      <c r="K7" s="1056"/>
    </row>
    <row r="8" spans="1:13" ht="21.75" customHeight="1">
      <c r="B8" s="1056"/>
      <c r="C8" s="1056"/>
      <c r="D8" s="1056"/>
      <c r="E8" s="1056"/>
      <c r="F8" s="1056"/>
      <c r="G8" s="1056"/>
      <c r="H8" s="1056"/>
      <c r="I8" s="1056"/>
      <c r="J8" s="1056"/>
      <c r="K8" s="1056"/>
    </row>
    <row r="9" spans="1:13" ht="41.25" customHeight="1" thickBot="1">
      <c r="A9" s="1873" t="s">
        <v>992</v>
      </c>
      <c r="B9" s="1873"/>
      <c r="C9" s="1873"/>
      <c r="D9" s="1873"/>
      <c r="E9" s="1873"/>
      <c r="F9" s="1873"/>
      <c r="G9" s="1873"/>
      <c r="H9" s="1873"/>
      <c r="I9" s="1873"/>
      <c r="J9" s="1873"/>
      <c r="K9" s="1873"/>
    </row>
    <row r="10" spans="1:13" ht="14.25" customHeight="1" thickBot="1">
      <c r="A10" s="1927" t="s">
        <v>364</v>
      </c>
      <c r="B10" s="1928" t="s">
        <v>1042</v>
      </c>
      <c r="C10" s="1929" t="s">
        <v>488</v>
      </c>
      <c r="D10" s="1929"/>
      <c r="E10" s="1929"/>
      <c r="F10" s="1929"/>
      <c r="G10" s="1929"/>
      <c r="H10" s="1927" t="s">
        <v>492</v>
      </c>
      <c r="I10" s="1927" t="s">
        <v>494</v>
      </c>
      <c r="J10" s="1930" t="s">
        <v>819</v>
      </c>
      <c r="K10" s="1926" t="s">
        <v>495</v>
      </c>
    </row>
    <row r="11" spans="1:13" ht="12.75" customHeight="1" thickBot="1">
      <c r="A11" s="1927"/>
      <c r="B11" s="1928"/>
      <c r="C11" s="1133" t="s">
        <v>388</v>
      </c>
      <c r="D11" s="1133" t="s">
        <v>489</v>
      </c>
      <c r="E11" s="1133" t="s">
        <v>490</v>
      </c>
      <c r="F11" s="1133" t="s">
        <v>491</v>
      </c>
      <c r="G11" s="1133" t="s">
        <v>493</v>
      </c>
      <c r="H11" s="1927"/>
      <c r="I11" s="1927"/>
      <c r="J11" s="1930"/>
      <c r="K11" s="1926"/>
    </row>
    <row r="12" spans="1:13" s="44" customFormat="1" ht="22.5" customHeight="1">
      <c r="A12" s="1130">
        <v>1</v>
      </c>
      <c r="B12" s="1125" t="s">
        <v>708</v>
      </c>
      <c r="C12" s="1131" t="s">
        <v>36</v>
      </c>
      <c r="D12" s="1131" t="s">
        <v>33</v>
      </c>
      <c r="E12" s="1131" t="s">
        <v>33</v>
      </c>
      <c r="F12" s="1131" t="s">
        <v>36</v>
      </c>
      <c r="G12" s="1131" t="s">
        <v>36</v>
      </c>
      <c r="H12" s="1126" t="s">
        <v>497</v>
      </c>
      <c r="I12" s="1127" t="s">
        <v>498</v>
      </c>
      <c r="J12" s="1128">
        <f>'DETALLE PROY. FONDOS PROPIOS'!H17</f>
        <v>10000</v>
      </c>
      <c r="K12" s="1132">
        <f>J12</f>
        <v>10000</v>
      </c>
      <c r="L12" s="1129"/>
      <c r="M12" s="195"/>
    </row>
    <row r="13" spans="1:13" ht="15.75">
      <c r="A13" s="1742" t="s">
        <v>165</v>
      </c>
      <c r="B13" s="1742"/>
      <c r="C13" s="1742"/>
      <c r="D13" s="1742"/>
      <c r="E13" s="1742"/>
      <c r="F13" s="1742"/>
      <c r="G13" s="1742"/>
      <c r="H13" s="1742"/>
      <c r="I13" s="1742"/>
      <c r="J13" s="972">
        <f>SUM(J12:J12)</f>
        <v>10000</v>
      </c>
      <c r="K13" s="972">
        <f>SUM(K12:K12)</f>
        <v>10000</v>
      </c>
    </row>
    <row r="14" spans="1:13" ht="16.149999999999999" customHeight="1">
      <c r="B14"/>
      <c r="C14"/>
      <c r="D14"/>
      <c r="E14"/>
      <c r="F14"/>
      <c r="G14"/>
      <c r="H14"/>
      <c r="I14"/>
      <c r="J14"/>
      <c r="K14"/>
    </row>
  </sheetData>
  <mergeCells count="13">
    <mergeCell ref="K10:K11"/>
    <mergeCell ref="A13:I13"/>
    <mergeCell ref="B3:K3"/>
    <mergeCell ref="B4:K4"/>
    <mergeCell ref="B5:K5"/>
    <mergeCell ref="A9:K9"/>
    <mergeCell ref="A10:A11"/>
    <mergeCell ref="B10:B11"/>
    <mergeCell ref="C10:G10"/>
    <mergeCell ref="H10:H11"/>
    <mergeCell ref="I10:I11"/>
    <mergeCell ref="J10:J11"/>
    <mergeCell ref="A6:K6"/>
  </mergeCells>
  <pageMargins left="0.51181102362204722" right="0.51181102362204722" top="0.74803149606299213" bottom="0.74803149606299213" header="0.31496062992125984" footer="0.31496062992125984"/>
  <pageSetup paperSize="9" scale="90" orientation="landscape"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2:I25"/>
  <sheetViews>
    <sheetView zoomScaleNormal="100" workbookViewId="0">
      <selection activeCell="I11" sqref="I11"/>
    </sheetView>
  </sheetViews>
  <sheetFormatPr baseColWidth="10" defaultRowHeight="12.75"/>
  <cols>
    <col min="1" max="1" width="10" customWidth="1"/>
    <col min="2" max="2" width="9.42578125" customWidth="1"/>
    <col min="3" max="3" width="10.5703125" customWidth="1"/>
    <col min="6" max="6" width="10" customWidth="1"/>
    <col min="7" max="7" width="19.5703125" customWidth="1"/>
    <col min="8" max="8" width="28.5703125" customWidth="1"/>
  </cols>
  <sheetData>
    <row r="2" spans="1:9">
      <c r="A2" s="892"/>
      <c r="B2" s="903"/>
      <c r="C2" s="904"/>
      <c r="D2" s="905"/>
      <c r="E2" s="905"/>
      <c r="F2" s="906"/>
      <c r="G2" s="895"/>
      <c r="H2" s="896"/>
      <c r="I2" s="1869">
        <v>1</v>
      </c>
    </row>
    <row r="3" spans="1:9" ht="18">
      <c r="A3" s="1802" t="s">
        <v>79</v>
      </c>
      <c r="B3" s="1802"/>
      <c r="C3" s="1802"/>
      <c r="D3" s="1802"/>
      <c r="E3" s="1802"/>
      <c r="F3" s="1802"/>
      <c r="G3" s="1802"/>
      <c r="H3" s="1802"/>
      <c r="I3" s="1869"/>
    </row>
    <row r="4" spans="1:9" ht="18">
      <c r="A4" s="1802" t="s">
        <v>537</v>
      </c>
      <c r="B4" s="1802"/>
      <c r="C4" s="1802"/>
      <c r="D4" s="1802"/>
      <c r="E4" s="1802"/>
      <c r="F4" s="1802"/>
      <c r="G4" s="1802"/>
      <c r="H4" s="1802"/>
    </row>
    <row r="5" spans="1:9" ht="18">
      <c r="A5" s="1752" t="s">
        <v>174</v>
      </c>
      <c r="B5" s="1752"/>
      <c r="C5" s="1752"/>
      <c r="D5" s="1752"/>
      <c r="E5" s="1752"/>
      <c r="F5" s="1752"/>
      <c r="G5" s="1752"/>
      <c r="H5" s="1752"/>
    </row>
    <row r="6" spans="1:9" ht="18">
      <c r="A6" s="1752" t="s">
        <v>928</v>
      </c>
      <c r="B6" s="1752"/>
      <c r="C6" s="1752"/>
      <c r="D6" s="1752"/>
      <c r="E6" s="1752"/>
      <c r="F6" s="1752"/>
      <c r="G6" s="1752"/>
      <c r="H6" s="1752"/>
    </row>
    <row r="7" spans="1:9" ht="18">
      <c r="A7" s="1752" t="s">
        <v>790</v>
      </c>
      <c r="B7" s="1752"/>
      <c r="C7" s="1752"/>
      <c r="D7" s="1752"/>
      <c r="E7" s="1752"/>
      <c r="F7" s="1752"/>
      <c r="G7" s="1752"/>
      <c r="H7" s="1752"/>
    </row>
    <row r="8" spans="1:9">
      <c r="A8" s="902"/>
      <c r="B8" s="903"/>
      <c r="C8" s="904"/>
      <c r="D8" s="905"/>
      <c r="E8" s="905"/>
      <c r="F8" s="906"/>
      <c r="G8" s="895"/>
      <c r="H8" s="896"/>
    </row>
    <row r="9" spans="1:9" s="538" customFormat="1" ht="37.5" customHeight="1">
      <c r="A9" s="1931" t="s">
        <v>840</v>
      </c>
      <c r="B9" s="1931"/>
      <c r="C9" s="1931"/>
      <c r="D9" s="1931"/>
      <c r="E9" s="1931"/>
      <c r="F9" s="1931"/>
      <c r="G9" s="1931"/>
      <c r="H9" s="1931"/>
    </row>
    <row r="10" spans="1:9" ht="18">
      <c r="A10" s="1798" t="s">
        <v>737</v>
      </c>
      <c r="B10" s="1799"/>
      <c r="C10" s="1799"/>
      <c r="D10" s="1799"/>
      <c r="E10" s="1799"/>
      <c r="F10" s="1799"/>
      <c r="G10" s="1799"/>
      <c r="H10" s="1799"/>
    </row>
    <row r="11" spans="1:9" ht="13.5" thickBot="1">
      <c r="A11" s="1803" t="s">
        <v>8</v>
      </c>
      <c r="B11" s="1804"/>
      <c r="C11" s="1804"/>
      <c r="D11" s="1804"/>
      <c r="E11" s="1804"/>
      <c r="F11" s="1805"/>
      <c r="G11" s="1932" t="s">
        <v>501</v>
      </c>
      <c r="H11" s="1924" t="s">
        <v>500</v>
      </c>
      <c r="I11" s="201"/>
    </row>
    <row r="12" spans="1:9" ht="60.75" thickBot="1">
      <c r="A12" s="907" t="s">
        <v>796</v>
      </c>
      <c r="B12" s="908" t="s">
        <v>179</v>
      </c>
      <c r="C12" s="908" t="s">
        <v>797</v>
      </c>
      <c r="D12" s="908" t="s">
        <v>21</v>
      </c>
      <c r="E12" s="909" t="s">
        <v>803</v>
      </c>
      <c r="F12" s="910" t="s">
        <v>19</v>
      </c>
      <c r="G12" s="1933"/>
      <c r="H12" s="1817"/>
    </row>
    <row r="13" spans="1:9" ht="29.45" customHeight="1">
      <c r="A13" s="539" t="s">
        <v>36</v>
      </c>
      <c r="B13" s="540" t="s">
        <v>33</v>
      </c>
      <c r="C13" s="540" t="s">
        <v>33</v>
      </c>
      <c r="D13" s="540" t="s">
        <v>36</v>
      </c>
      <c r="E13" s="540" t="s">
        <v>36</v>
      </c>
      <c r="F13" s="1134">
        <v>51202</v>
      </c>
      <c r="G13" s="1138" t="s">
        <v>538</v>
      </c>
      <c r="H13" s="1136">
        <v>2500</v>
      </c>
    </row>
    <row r="14" spans="1:9" ht="29.45" customHeight="1">
      <c r="A14" s="539" t="s">
        <v>36</v>
      </c>
      <c r="B14" s="540" t="s">
        <v>33</v>
      </c>
      <c r="C14" s="540" t="s">
        <v>33</v>
      </c>
      <c r="D14" s="540" t="s">
        <v>36</v>
      </c>
      <c r="E14" s="540" t="s">
        <v>36</v>
      </c>
      <c r="F14" s="1134">
        <v>54101</v>
      </c>
      <c r="G14" s="1201" t="s">
        <v>1076</v>
      </c>
      <c r="H14" s="1296">
        <v>2500</v>
      </c>
    </row>
    <row r="15" spans="1:9" ht="29.45" customHeight="1">
      <c r="A15" s="539" t="s">
        <v>36</v>
      </c>
      <c r="B15" s="540" t="s">
        <v>33</v>
      </c>
      <c r="C15" s="540" t="s">
        <v>33</v>
      </c>
      <c r="D15" s="540" t="s">
        <v>36</v>
      </c>
      <c r="E15" s="540" t="s">
        <v>36</v>
      </c>
      <c r="F15" s="1134">
        <v>56304</v>
      </c>
      <c r="G15" s="1139" t="s">
        <v>545</v>
      </c>
      <c r="H15" s="1137">
        <f>7480.05-H14</f>
        <v>4980.05</v>
      </c>
    </row>
    <row r="16" spans="1:9" ht="29.45" customHeight="1">
      <c r="A16" s="539" t="s">
        <v>36</v>
      </c>
      <c r="B16" s="540" t="s">
        <v>33</v>
      </c>
      <c r="C16" s="540" t="s">
        <v>33</v>
      </c>
      <c r="D16" s="540" t="s">
        <v>36</v>
      </c>
      <c r="E16" s="540" t="s">
        <v>36</v>
      </c>
      <c r="F16" s="1134">
        <v>55603</v>
      </c>
      <c r="G16" s="1139" t="s">
        <v>990</v>
      </c>
      <c r="H16" s="1137">
        <v>19.95</v>
      </c>
    </row>
    <row r="17" spans="1:8" ht="35.25" customHeight="1" thickBot="1">
      <c r="A17" s="1806" t="s">
        <v>165</v>
      </c>
      <c r="B17" s="1807"/>
      <c r="C17" s="1807"/>
      <c r="D17" s="1807"/>
      <c r="E17" s="1807"/>
      <c r="F17" s="1808"/>
      <c r="G17" s="444"/>
      <c r="H17" s="477">
        <f>SUM(H13:H16)</f>
        <v>10000</v>
      </c>
    </row>
    <row r="18" spans="1:8" ht="41.25" customHeight="1">
      <c r="A18" s="1771" t="s">
        <v>837</v>
      </c>
      <c r="B18" s="1772"/>
      <c r="C18" s="1772"/>
      <c r="D18" s="1772"/>
      <c r="E18" s="1772"/>
      <c r="F18" s="1773"/>
      <c r="G18" s="1774" t="s">
        <v>930</v>
      </c>
      <c r="H18" s="1775"/>
    </row>
    <row r="19" spans="1:8">
      <c r="A19" s="1753" t="s">
        <v>536</v>
      </c>
      <c r="B19" s="1828"/>
      <c r="C19" s="1828"/>
      <c r="D19" s="1828"/>
      <c r="E19" s="1828"/>
      <c r="F19" s="1829"/>
      <c r="G19" s="1753" t="s">
        <v>839</v>
      </c>
      <c r="H19" s="1829"/>
    </row>
    <row r="20" spans="1:8" ht="27.75" customHeight="1">
      <c r="A20" s="1845" t="s">
        <v>890</v>
      </c>
      <c r="B20" s="1846"/>
      <c r="C20" s="1846"/>
      <c r="D20" s="1846"/>
      <c r="E20" s="1846"/>
      <c r="F20" s="1847"/>
      <c r="G20" s="1855" t="s">
        <v>522</v>
      </c>
      <c r="H20" s="1856"/>
    </row>
    <row r="21" spans="1:8">
      <c r="A21" s="1935"/>
      <c r="B21" s="1936"/>
      <c r="C21" s="1936"/>
      <c r="D21" s="1936"/>
      <c r="E21" s="1936"/>
      <c r="F21" s="1937"/>
      <c r="G21" s="1796"/>
      <c r="H21" s="1857"/>
    </row>
    <row r="22" spans="1:8" ht="13.5" thickBot="1">
      <c r="A22" s="1779" t="s">
        <v>870</v>
      </c>
      <c r="B22" s="1837"/>
      <c r="C22" s="1837"/>
      <c r="D22" s="1837"/>
      <c r="E22" s="1837"/>
      <c r="F22" s="1838"/>
      <c r="G22" s="1782" t="s">
        <v>523</v>
      </c>
      <c r="H22" s="1934"/>
    </row>
    <row r="23" spans="1:8" ht="36.6" customHeight="1">
      <c r="A23" s="897"/>
      <c r="B23" s="898"/>
      <c r="C23" s="898"/>
      <c r="D23" s="898"/>
      <c r="E23" s="898"/>
      <c r="F23" s="899"/>
      <c r="G23" s="900"/>
      <c r="H23" s="898"/>
    </row>
    <row r="24" spans="1:8" ht="59.25" customHeight="1">
      <c r="A24" s="1759" t="s">
        <v>1060</v>
      </c>
      <c r="B24" s="1759"/>
      <c r="C24" s="1759"/>
      <c r="D24" s="1759"/>
      <c r="E24" s="1759"/>
      <c r="F24" s="1759"/>
      <c r="G24" s="1759"/>
      <c r="H24" s="1759"/>
    </row>
    <row r="25" spans="1:8" s="414" customFormat="1">
      <c r="A25" s="941"/>
      <c r="B25" s="942"/>
      <c r="C25" s="943"/>
      <c r="D25" s="944"/>
      <c r="E25" s="944"/>
      <c r="F25" s="918"/>
      <c r="G25" s="917"/>
      <c r="H25" s="945"/>
    </row>
  </sheetData>
  <mergeCells count="21">
    <mergeCell ref="A22:F22"/>
    <mergeCell ref="G22:H22"/>
    <mergeCell ref="A24:H24"/>
    <mergeCell ref="A18:F18"/>
    <mergeCell ref="G18:H18"/>
    <mergeCell ref="A19:F19"/>
    <mergeCell ref="G19:H19"/>
    <mergeCell ref="A20:F21"/>
    <mergeCell ref="G20:H21"/>
    <mergeCell ref="A17:F17"/>
    <mergeCell ref="I2:I3"/>
    <mergeCell ref="A3:H3"/>
    <mergeCell ref="A4:H4"/>
    <mergeCell ref="A5:H5"/>
    <mergeCell ref="A6:H6"/>
    <mergeCell ref="A7:H7"/>
    <mergeCell ref="A9:H9"/>
    <mergeCell ref="A10:H10"/>
    <mergeCell ref="A11:F11"/>
    <mergeCell ref="G11:G12"/>
    <mergeCell ref="H11:H12"/>
  </mergeCells>
  <pageMargins left="0.70866141732283472" right="0.70866141732283472" top="0.74803149606299213" bottom="0.74803149606299213" header="0.31496062992125984" footer="0.31496062992125984"/>
  <pageSetup paperSize="9" scale="79" orientation="portrait" horizontalDpi="0" verticalDpi="0" r:id="rId1"/>
  <colBreaks count="1" manualBreakCount="1">
    <brk id="8"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5"/>
  <sheetViews>
    <sheetView topLeftCell="A24" zoomScaleNormal="100" workbookViewId="0">
      <selection activeCell="E38" sqref="A2:E38"/>
    </sheetView>
  </sheetViews>
  <sheetFormatPr baseColWidth="10" defaultRowHeight="12.75"/>
  <cols>
    <col min="2" max="2" width="11.28515625" customWidth="1"/>
    <col min="3" max="3" width="43.140625" customWidth="1"/>
    <col min="4" max="4" width="47.85546875" customWidth="1"/>
  </cols>
  <sheetData>
    <row r="2" spans="1:5" ht="12.75" customHeight="1">
      <c r="A2" s="1938" t="s">
        <v>818</v>
      </c>
      <c r="B2" s="1938"/>
      <c r="C2" s="1938"/>
      <c r="D2" s="1938"/>
      <c r="E2" s="1938"/>
    </row>
    <row r="3" spans="1:5" ht="12.75" customHeight="1">
      <c r="A3" s="1938"/>
      <c r="B3" s="1938"/>
      <c r="C3" s="1938"/>
      <c r="D3" s="1938"/>
      <c r="E3" s="1938"/>
    </row>
    <row r="4" spans="1:5" ht="15">
      <c r="A4" s="840" t="s">
        <v>470</v>
      </c>
      <c r="B4" s="840" t="s">
        <v>816</v>
      </c>
      <c r="C4" s="840" t="s">
        <v>815</v>
      </c>
      <c r="D4" s="840" t="s">
        <v>817</v>
      </c>
      <c r="E4" s="840" t="s">
        <v>819</v>
      </c>
    </row>
    <row r="5" spans="1:5" ht="24.75" customHeight="1">
      <c r="A5" s="842"/>
      <c r="B5" s="842"/>
      <c r="C5" s="842"/>
      <c r="D5" s="842"/>
      <c r="E5" s="842"/>
    </row>
    <row r="6" spans="1:5" ht="25.5" customHeight="1">
      <c r="A6" s="842"/>
      <c r="B6" s="841"/>
      <c r="C6" s="841"/>
      <c r="D6" s="841"/>
      <c r="E6" s="842"/>
    </row>
    <row r="7" spans="1:5" ht="24" customHeight="1">
      <c r="A7" s="842"/>
      <c r="B7" s="841"/>
      <c r="C7" s="841"/>
      <c r="D7" s="841"/>
      <c r="E7" s="842"/>
    </row>
    <row r="8" spans="1:5" ht="25.5" customHeight="1">
      <c r="A8" s="842"/>
      <c r="B8" s="841"/>
      <c r="C8" s="841"/>
      <c r="D8" s="841"/>
      <c r="E8" s="842"/>
    </row>
    <row r="9" spans="1:5" ht="24.75" customHeight="1">
      <c r="A9" s="842"/>
      <c r="B9" s="842"/>
      <c r="C9" s="842"/>
      <c r="D9" s="842"/>
      <c r="E9" s="842"/>
    </row>
    <row r="10" spans="1:5" ht="25.5" customHeight="1">
      <c r="A10" s="842"/>
      <c r="B10" s="841"/>
      <c r="C10" s="841"/>
      <c r="D10" s="841"/>
      <c r="E10" s="842"/>
    </row>
    <row r="11" spans="1:5" ht="24" customHeight="1">
      <c r="A11" s="842"/>
      <c r="B11" s="841"/>
      <c r="C11" s="841"/>
      <c r="D11" s="841"/>
      <c r="E11" s="842"/>
    </row>
    <row r="12" spans="1:5" ht="25.5" customHeight="1">
      <c r="A12" s="842"/>
      <c r="B12" s="841"/>
      <c r="C12" s="841"/>
      <c r="D12" s="841"/>
      <c r="E12" s="842"/>
    </row>
    <row r="13" spans="1:5" ht="24.75" customHeight="1">
      <c r="A13" s="842"/>
      <c r="B13" s="842"/>
      <c r="C13" s="842"/>
      <c r="D13" s="842"/>
      <c r="E13" s="842"/>
    </row>
    <row r="14" spans="1:5" ht="25.5" customHeight="1">
      <c r="A14" s="842"/>
      <c r="B14" s="841"/>
      <c r="C14" s="841"/>
      <c r="D14" s="841"/>
      <c r="E14" s="842"/>
    </row>
    <row r="15" spans="1:5" ht="24" customHeight="1">
      <c r="A15" s="842"/>
      <c r="B15" s="841"/>
      <c r="C15" s="841"/>
      <c r="D15" s="841"/>
      <c r="E15" s="842"/>
    </row>
    <row r="16" spans="1:5" ht="25.5" customHeight="1">
      <c r="A16" s="842"/>
      <c r="B16" s="841"/>
      <c r="C16" s="841"/>
      <c r="D16" s="841"/>
      <c r="E16" s="842"/>
    </row>
    <row r="17" spans="1:5" ht="24.75" customHeight="1">
      <c r="A17" s="842"/>
      <c r="B17" s="842"/>
      <c r="C17" s="842"/>
      <c r="D17" s="842"/>
      <c r="E17" s="842"/>
    </row>
    <row r="18" spans="1:5" ht="25.5" customHeight="1">
      <c r="A18" s="842"/>
      <c r="B18" s="841"/>
      <c r="C18" s="841"/>
      <c r="D18" s="841"/>
      <c r="E18" s="842"/>
    </row>
    <row r="19" spans="1:5" ht="24" customHeight="1">
      <c r="A19" s="842"/>
      <c r="B19" s="841"/>
      <c r="C19" s="841"/>
      <c r="D19" s="841"/>
      <c r="E19" s="842"/>
    </row>
    <row r="20" spans="1:5" ht="25.5" customHeight="1">
      <c r="A20" s="842"/>
      <c r="B20" s="841"/>
      <c r="C20" s="841"/>
      <c r="D20" s="841"/>
      <c r="E20" s="842"/>
    </row>
    <row r="21" spans="1:5" ht="24.75" customHeight="1">
      <c r="A21" s="842"/>
      <c r="B21" s="842"/>
      <c r="C21" s="842"/>
      <c r="D21" s="842"/>
      <c r="E21" s="842"/>
    </row>
    <row r="22" spans="1:5" ht="25.5" customHeight="1">
      <c r="A22" s="842"/>
      <c r="B22" s="841"/>
      <c r="C22" s="841"/>
      <c r="D22" s="841"/>
      <c r="E22" s="842"/>
    </row>
    <row r="23" spans="1:5" ht="24" customHeight="1">
      <c r="A23" s="842"/>
      <c r="B23" s="841"/>
      <c r="C23" s="841"/>
      <c r="D23" s="841"/>
      <c r="E23" s="842"/>
    </row>
    <row r="24" spans="1:5" ht="25.5" customHeight="1">
      <c r="A24" s="842"/>
      <c r="B24" s="841"/>
      <c r="C24" s="841"/>
      <c r="D24" s="841"/>
      <c r="E24" s="842"/>
    </row>
    <row r="25" spans="1:5" ht="24.75" customHeight="1">
      <c r="A25" s="842"/>
      <c r="B25" s="842"/>
      <c r="C25" s="842"/>
      <c r="D25" s="842"/>
      <c r="E25" s="842"/>
    </row>
    <row r="26" spans="1:5" ht="25.5" customHeight="1">
      <c r="A26" s="842"/>
      <c r="B26" s="841"/>
      <c r="C26" s="841"/>
      <c r="D26" s="841"/>
      <c r="E26" s="842"/>
    </row>
    <row r="27" spans="1:5" ht="24" customHeight="1">
      <c r="A27" s="842"/>
      <c r="B27" s="841"/>
      <c r="C27" s="841"/>
      <c r="D27" s="841"/>
      <c r="E27" s="842"/>
    </row>
    <row r="28" spans="1:5" ht="25.5" customHeight="1">
      <c r="A28" s="842"/>
      <c r="B28" s="841"/>
      <c r="C28" s="841"/>
      <c r="D28" s="841"/>
      <c r="E28" s="842"/>
    </row>
    <row r="29" spans="1:5" ht="24.75" customHeight="1">
      <c r="A29" s="842"/>
      <c r="B29" s="842"/>
      <c r="C29" s="842"/>
      <c r="D29" s="842"/>
      <c r="E29" s="842"/>
    </row>
    <row r="30" spans="1:5" ht="25.5" customHeight="1">
      <c r="A30" s="842"/>
      <c r="B30" s="841"/>
      <c r="C30" s="841"/>
      <c r="D30" s="841"/>
      <c r="E30" s="842"/>
    </row>
    <row r="31" spans="1:5" ht="24" customHeight="1">
      <c r="A31" s="842"/>
      <c r="B31" s="841"/>
      <c r="C31" s="841"/>
      <c r="D31" s="841"/>
      <c r="E31" s="842"/>
    </row>
    <row r="32" spans="1:5" ht="25.5" customHeight="1">
      <c r="A32" s="842"/>
      <c r="B32" s="841"/>
      <c r="C32" s="841"/>
      <c r="D32" s="841"/>
      <c r="E32" s="842"/>
    </row>
    <row r="33" spans="1:5" ht="24.75" customHeight="1">
      <c r="A33" s="842"/>
      <c r="B33" s="842"/>
      <c r="C33" s="842"/>
      <c r="D33" s="842"/>
      <c r="E33" s="842"/>
    </row>
    <row r="34" spans="1:5" ht="25.5" customHeight="1">
      <c r="A34" s="842"/>
      <c r="B34" s="841"/>
      <c r="C34" s="841"/>
      <c r="D34" s="841"/>
      <c r="E34" s="842"/>
    </row>
    <row r="35" spans="1:5" ht="24" customHeight="1">
      <c r="A35" s="842"/>
      <c r="B35" s="841"/>
      <c r="C35" s="841"/>
      <c r="D35" s="841"/>
      <c r="E35" s="842"/>
    </row>
    <row r="36" spans="1:5" ht="25.5" customHeight="1">
      <c r="A36" s="842"/>
      <c r="B36" s="841"/>
      <c r="C36" s="841"/>
      <c r="D36" s="841"/>
      <c r="E36" s="842"/>
    </row>
    <row r="37" spans="1:5" ht="24.75" customHeight="1">
      <c r="A37" s="842"/>
      <c r="B37" s="842"/>
      <c r="C37" s="842"/>
      <c r="D37" s="842"/>
      <c r="E37" s="842"/>
    </row>
    <row r="38" spans="1:5" ht="25.5" customHeight="1">
      <c r="A38" s="842"/>
      <c r="B38" s="841"/>
      <c r="C38" s="841"/>
      <c r="D38" s="841"/>
      <c r="E38" s="841" t="s">
        <v>820</v>
      </c>
    </row>
    <row r="39" spans="1:5" ht="24" customHeight="1">
      <c r="A39" s="842"/>
      <c r="B39" s="841"/>
      <c r="C39" s="841"/>
      <c r="D39" s="841"/>
      <c r="E39" s="841"/>
    </row>
    <row r="40" spans="1:5" ht="25.5" customHeight="1">
      <c r="A40" s="842"/>
      <c r="B40" s="841"/>
      <c r="C40" s="841"/>
      <c r="D40" s="841"/>
      <c r="E40" s="841"/>
    </row>
    <row r="41" spans="1:5" ht="24" customHeight="1">
      <c r="B41" s="841"/>
      <c r="C41" s="841"/>
      <c r="D41" s="841"/>
      <c r="E41" s="841"/>
    </row>
    <row r="42" spans="1:5" ht="19.5" customHeight="1">
      <c r="B42" s="841"/>
      <c r="C42" s="841"/>
      <c r="D42" s="841"/>
      <c r="E42" s="841"/>
    </row>
    <row r="43" spans="1:5" ht="19.5" customHeight="1">
      <c r="B43" s="841"/>
      <c r="C43" s="841"/>
      <c r="D43" s="841"/>
      <c r="E43" s="841"/>
    </row>
    <row r="44" spans="1:5" ht="19.5" customHeight="1"/>
    <row r="45" spans="1:5" ht="18" customHeight="1"/>
  </sheetData>
  <mergeCells count="1">
    <mergeCell ref="A2:E3"/>
  </mergeCells>
  <pageMargins left="0.31496062992125984" right="0.11811023622047245" top="0.55118110236220474" bottom="0.55118110236220474" header="0.31496062992125984" footer="0.31496062992125984"/>
  <pageSetup paperSize="9" scale="80"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K33"/>
  <sheetViews>
    <sheetView topLeftCell="A58" workbookViewId="0">
      <selection activeCell="H32" sqref="H32"/>
    </sheetView>
  </sheetViews>
  <sheetFormatPr baseColWidth="10" defaultRowHeight="12.75"/>
  <cols>
    <col min="1" max="1" width="9.140625" customWidth="1"/>
    <col min="2" max="2" width="22.5703125" customWidth="1"/>
    <col min="3" max="3" width="25.28515625" customWidth="1"/>
    <col min="4" max="4" width="27.85546875" customWidth="1"/>
    <col min="6" max="6" width="13.85546875" bestFit="1" customWidth="1"/>
    <col min="7" max="7" width="18.42578125" customWidth="1"/>
  </cols>
  <sheetData>
    <row r="1" spans="1:11" ht="28.5" customHeight="1">
      <c r="A1" s="1382" t="s">
        <v>79</v>
      </c>
      <c r="B1" s="1382"/>
      <c r="C1" s="1382"/>
      <c r="D1" s="1382"/>
      <c r="E1" s="53"/>
      <c r="F1" s="53"/>
      <c r="G1" s="53"/>
      <c r="H1" s="53"/>
      <c r="I1" s="53"/>
      <c r="J1" s="53"/>
      <c r="K1" s="53"/>
    </row>
    <row r="2" spans="1:11" ht="18" customHeight="1">
      <c r="A2" s="1383" t="s">
        <v>78</v>
      </c>
      <c r="B2" s="1383"/>
      <c r="C2" s="1383"/>
      <c r="D2" s="1383"/>
      <c r="E2" s="53"/>
      <c r="F2" s="53"/>
      <c r="G2" s="53"/>
      <c r="H2" s="53"/>
      <c r="I2" s="53"/>
      <c r="J2" s="53"/>
      <c r="K2" s="53"/>
    </row>
    <row r="3" spans="1:11" ht="24" customHeight="1">
      <c r="A3" s="1384" t="s">
        <v>1056</v>
      </c>
      <c r="B3" s="1384"/>
      <c r="C3" s="1384"/>
      <c r="D3" s="1384"/>
      <c r="E3" s="54"/>
      <c r="F3" s="54"/>
      <c r="G3" s="54"/>
      <c r="H3" s="54"/>
      <c r="I3" s="54"/>
      <c r="J3" s="54"/>
      <c r="K3" s="54"/>
    </row>
    <row r="4" spans="1:11" ht="18.75">
      <c r="A4" s="1385" t="s">
        <v>9</v>
      </c>
      <c r="B4" s="1385"/>
      <c r="C4" s="1385"/>
      <c r="D4" s="1385"/>
      <c r="E4" s="55"/>
      <c r="F4" s="55"/>
      <c r="G4" s="55"/>
      <c r="H4" s="55"/>
      <c r="I4" s="55"/>
      <c r="J4" s="55"/>
      <c r="K4" s="55"/>
    </row>
    <row r="7" spans="1:11" ht="15">
      <c r="A7" s="1371" t="s">
        <v>354</v>
      </c>
      <c r="B7" s="1371"/>
      <c r="C7" s="1371"/>
      <c r="D7" s="1371"/>
    </row>
    <row r="8" spans="1:11" ht="15">
      <c r="A8" s="1386" t="s">
        <v>355</v>
      </c>
      <c r="B8" s="1386"/>
      <c r="C8" s="1386"/>
      <c r="D8" s="1386"/>
    </row>
    <row r="9" spans="1:11" ht="15">
      <c r="A9" s="1371" t="s">
        <v>356</v>
      </c>
      <c r="B9" s="1371"/>
      <c r="C9" s="1371"/>
      <c r="D9" s="1371"/>
    </row>
    <row r="10" spans="1:11">
      <c r="A10" s="385"/>
      <c r="B10" s="1372"/>
      <c r="C10" s="1373"/>
      <c r="D10" s="385"/>
    </row>
    <row r="11" spans="1:11">
      <c r="A11" s="386" t="s">
        <v>357</v>
      </c>
      <c r="B11" s="1374" t="s">
        <v>358</v>
      </c>
      <c r="C11" s="1375"/>
      <c r="D11" s="387">
        <f>'CONCENTRACION DE EGRESOS 2023'!C98+'CONCENTRACION DE EGRESOS 2023'!D98</f>
        <v>323197.01874999999</v>
      </c>
    </row>
    <row r="12" spans="1:11">
      <c r="A12" s="386"/>
      <c r="B12" s="1376"/>
      <c r="C12" s="1315"/>
      <c r="D12" s="388">
        <v>0</v>
      </c>
    </row>
    <row r="13" spans="1:11">
      <c r="A13" s="386" t="s">
        <v>359</v>
      </c>
      <c r="B13" s="1374" t="s">
        <v>360</v>
      </c>
      <c r="C13" s="1377"/>
      <c r="D13" s="389">
        <f>'CONCENTRACION DE EGRESOS 2023'!G98+'CONCENTRACION DE EGRESOS 2023'!H98+'CONCENTRACION DE EGRESOS 2023'!I98</f>
        <v>868869.58250000002</v>
      </c>
    </row>
    <row r="14" spans="1:11">
      <c r="A14" s="386"/>
      <c r="B14" s="1376"/>
      <c r="C14" s="1315"/>
      <c r="D14" s="388">
        <v>0</v>
      </c>
    </row>
    <row r="15" spans="1:11" hidden="1">
      <c r="A15" s="386" t="s">
        <v>361</v>
      </c>
      <c r="B15" s="1374" t="s">
        <v>362</v>
      </c>
      <c r="C15" s="1377"/>
      <c r="D15" s="387"/>
    </row>
    <row r="16" spans="1:11" ht="13.5" thickBot="1">
      <c r="A16" s="385"/>
      <c r="B16" s="1372"/>
      <c r="C16" s="1373"/>
      <c r="D16" s="388"/>
    </row>
    <row r="17" spans="1:7" ht="23.25" customHeight="1" thickBot="1">
      <c r="A17" s="1379" t="s">
        <v>165</v>
      </c>
      <c r="B17" s="1380"/>
      <c r="C17" s="1381"/>
      <c r="D17" s="879">
        <f>SUM(D10:D16)</f>
        <v>1192066.6012500001</v>
      </c>
    </row>
    <row r="18" spans="1:7">
      <c r="B18" s="6"/>
      <c r="C18" s="6"/>
    </row>
    <row r="19" spans="1:7">
      <c r="B19" s="6"/>
      <c r="C19" s="6"/>
    </row>
    <row r="20" spans="1:7">
      <c r="B20" s="6"/>
      <c r="C20" s="6"/>
    </row>
    <row r="21" spans="1:7">
      <c r="B21" s="6"/>
      <c r="C21" s="6"/>
    </row>
    <row r="22" spans="1:7" ht="31.5" customHeight="1">
      <c r="A22" s="1378" t="s">
        <v>363</v>
      </c>
      <c r="B22" s="1378"/>
      <c r="C22" s="1378"/>
      <c r="D22" s="1378"/>
    </row>
    <row r="23" spans="1:7" ht="15">
      <c r="A23" s="498" t="s">
        <v>364</v>
      </c>
      <c r="B23" s="499" t="s">
        <v>365</v>
      </c>
      <c r="C23" s="500" t="s">
        <v>366</v>
      </c>
      <c r="D23" s="500" t="s">
        <v>367</v>
      </c>
    </row>
    <row r="24" spans="1:7">
      <c r="A24" s="390"/>
      <c r="C24" s="391"/>
      <c r="D24" s="391"/>
    </row>
    <row r="25" spans="1:7">
      <c r="A25" s="392">
        <v>1</v>
      </c>
      <c r="B25" s="12" t="s">
        <v>368</v>
      </c>
      <c r="C25" s="387">
        <f>INGRESOS!H52</f>
        <v>868869.58</v>
      </c>
      <c r="D25" s="387">
        <f>'CONCENTRACION DE EGRESOS 2023'!G98+'CONCENTRACION DE EGRESOS 2023'!H98+'CONCENTRACION DE EGRESOS 2023'!I98</f>
        <v>868869.58250000002</v>
      </c>
    </row>
    <row r="26" spans="1:7">
      <c r="A26" s="392"/>
      <c r="B26" s="12"/>
      <c r="C26" s="387"/>
      <c r="D26" s="388">
        <v>0</v>
      </c>
    </row>
    <row r="27" spans="1:7">
      <c r="A27" s="392">
        <v>2</v>
      </c>
      <c r="B27" s="12" t="s">
        <v>190</v>
      </c>
      <c r="C27" s="387">
        <f>INGRESOS!I52</f>
        <v>323197.02</v>
      </c>
      <c r="D27" s="387">
        <f>'CONCENTRACION DE EGRESOS 2023'!C98+'CONCENTRACION DE EGRESOS 2023'!D98</f>
        <v>323197.01874999999</v>
      </c>
    </row>
    <row r="28" spans="1:7">
      <c r="A28" s="392"/>
      <c r="B28" s="12"/>
      <c r="C28" s="387"/>
      <c r="D28" s="388"/>
    </row>
    <row r="29" spans="1:7">
      <c r="A29" s="392"/>
      <c r="B29" s="12"/>
      <c r="C29" s="387"/>
      <c r="D29" s="387"/>
    </row>
    <row r="30" spans="1:7" ht="13.5" thickBot="1">
      <c r="A30" s="393"/>
      <c r="C30" s="387"/>
      <c r="D30" s="388"/>
    </row>
    <row r="31" spans="1:7" ht="24.75" customHeight="1" thickBot="1">
      <c r="A31" s="1368" t="s">
        <v>165</v>
      </c>
      <c r="B31" s="1369" t="s">
        <v>72</v>
      </c>
      <c r="C31" s="1370">
        <f>SUM(C24:C30)</f>
        <v>1192066.6000000001</v>
      </c>
      <c r="D31" s="880">
        <f>SUM(D24:D30)</f>
        <v>1192066.6012500001</v>
      </c>
      <c r="F31" s="384">
        <f>D31-D17</f>
        <v>0</v>
      </c>
      <c r="G31" s="384">
        <f>C31-D31</f>
        <v>-1.2499999720603228E-3</v>
      </c>
    </row>
    <row r="33" spans="3:3">
      <c r="C33" s="1204">
        <f>SUM(C25:C27)</f>
        <v>1192066.6000000001</v>
      </c>
    </row>
  </sheetData>
  <mergeCells count="17">
    <mergeCell ref="A1:D1"/>
    <mergeCell ref="A2:D2"/>
    <mergeCell ref="A3:D3"/>
    <mergeCell ref="A4:D4"/>
    <mergeCell ref="A8:D8"/>
    <mergeCell ref="A7:D7"/>
    <mergeCell ref="A31:C31"/>
    <mergeCell ref="A9:D9"/>
    <mergeCell ref="B10:C10"/>
    <mergeCell ref="B11:C11"/>
    <mergeCell ref="B12:C12"/>
    <mergeCell ref="B13:C13"/>
    <mergeCell ref="B14:C14"/>
    <mergeCell ref="B15:C15"/>
    <mergeCell ref="B16:C16"/>
    <mergeCell ref="A22:D22"/>
    <mergeCell ref="A17:C17"/>
  </mergeCells>
  <pageMargins left="1.1023622047244095" right="0.70866141732283472" top="0.74803149606299213" bottom="0.74803149606299213" header="0.31496062992125984" footer="0.31496062992125984"/>
  <pageSetup orientation="portrait"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002060"/>
  </sheetPr>
  <dimension ref="A1:P491"/>
  <sheetViews>
    <sheetView topLeftCell="A17" zoomScale="110" zoomScaleNormal="110" workbookViewId="0">
      <selection activeCell="S14" sqref="S14"/>
    </sheetView>
  </sheetViews>
  <sheetFormatPr baseColWidth="10" defaultRowHeight="17.25"/>
  <cols>
    <col min="1" max="1" width="6.5703125" style="1249" customWidth="1"/>
    <col min="2" max="2" width="31.28515625" style="32" customWidth="1"/>
    <col min="3" max="3" width="11.85546875" style="123" customWidth="1"/>
    <col min="4" max="4" width="13" style="123" customWidth="1"/>
    <col min="5" max="5" width="12.42578125" style="123" customWidth="1"/>
    <col min="6" max="6" width="18.7109375" style="123" customWidth="1"/>
    <col min="7" max="7" width="12.28515625" style="123" hidden="1" customWidth="1"/>
    <col min="8" max="8" width="13.85546875" style="167" customWidth="1"/>
    <col min="9" max="9" width="13.28515625" style="123" customWidth="1"/>
    <col min="10" max="10" width="6.140625" style="123" hidden="1" customWidth="1"/>
    <col min="11" max="11" width="6.140625" style="124" hidden="1" customWidth="1"/>
    <col min="12" max="12" width="5" style="123" hidden="1" customWidth="1"/>
    <col min="13" max="13" width="14.85546875" style="125" customWidth="1"/>
    <col min="14" max="14" width="14.28515625" style="1" customWidth="1"/>
    <col min="15" max="15" width="11.85546875" bestFit="1" customWidth="1"/>
    <col min="18" max="18" width="14.28515625" customWidth="1"/>
  </cols>
  <sheetData>
    <row r="1" spans="1:14" ht="21.75" customHeight="1">
      <c r="A1" s="1392" t="s">
        <v>79</v>
      </c>
      <c r="B1" s="1393"/>
      <c r="C1" s="1393"/>
      <c r="D1" s="1393"/>
      <c r="E1" s="1393"/>
      <c r="F1" s="1393"/>
      <c r="G1" s="1393"/>
      <c r="H1" s="1393"/>
      <c r="I1" s="1393"/>
      <c r="J1" s="1393"/>
      <c r="K1" s="1393"/>
      <c r="L1" s="1393"/>
      <c r="M1" s="1393"/>
    </row>
    <row r="2" spans="1:14" ht="24.75" customHeight="1">
      <c r="A2" s="1392" t="s">
        <v>78</v>
      </c>
      <c r="B2" s="1393"/>
      <c r="C2" s="1393"/>
      <c r="D2" s="1393"/>
      <c r="E2" s="1393"/>
      <c r="F2" s="1393"/>
      <c r="G2" s="1393"/>
      <c r="H2" s="1393"/>
      <c r="I2" s="1393"/>
      <c r="J2" s="1393"/>
      <c r="K2" s="1393"/>
      <c r="L2" s="1393"/>
      <c r="M2" s="1393"/>
    </row>
    <row r="3" spans="1:14" ht="21.75" customHeight="1">
      <c r="A3" s="1394" t="s">
        <v>1055</v>
      </c>
      <c r="B3" s="1395"/>
      <c r="C3" s="1395"/>
      <c r="D3" s="1395"/>
      <c r="E3" s="1395"/>
      <c r="F3" s="1395"/>
      <c r="G3" s="1395"/>
      <c r="H3" s="1395"/>
      <c r="I3" s="1395"/>
      <c r="J3" s="1395"/>
      <c r="K3" s="1395"/>
      <c r="L3" s="1395"/>
      <c r="M3" s="1395"/>
    </row>
    <row r="4" spans="1:14" ht="23.25" customHeight="1">
      <c r="A4" s="1398" t="s">
        <v>790</v>
      </c>
      <c r="B4" s="1398"/>
      <c r="C4" s="1398"/>
      <c r="D4" s="1398"/>
      <c r="E4" s="1398"/>
      <c r="F4" s="1398"/>
      <c r="G4" s="1398"/>
      <c r="H4" s="1398"/>
      <c r="I4" s="1398"/>
      <c r="J4" s="1398"/>
      <c r="K4" s="1398"/>
      <c r="L4" s="1398"/>
      <c r="M4" s="1398"/>
    </row>
    <row r="5" spans="1:14" ht="29.25" customHeight="1">
      <c r="A5" s="1396" t="s">
        <v>24</v>
      </c>
      <c r="B5" s="1396"/>
      <c r="C5" s="1396"/>
      <c r="D5" s="1396"/>
      <c r="E5" s="1396"/>
      <c r="F5" s="1396"/>
      <c r="G5" s="1396"/>
      <c r="H5" s="1396"/>
      <c r="I5" s="1396"/>
      <c r="J5" s="1396"/>
      <c r="K5" s="1396"/>
      <c r="L5" s="1396"/>
      <c r="M5" s="1396"/>
    </row>
    <row r="6" spans="1:14" ht="18" customHeight="1">
      <c r="A6" s="1399" t="s">
        <v>640</v>
      </c>
      <c r="B6" s="803"/>
      <c r="C6" s="1397" t="s">
        <v>687</v>
      </c>
      <c r="D6" s="1397"/>
      <c r="E6" s="1397"/>
      <c r="F6" s="1397"/>
      <c r="G6" s="1397"/>
      <c r="H6" s="1397"/>
      <c r="I6" s="804"/>
      <c r="J6" s="804"/>
      <c r="K6" s="804"/>
      <c r="L6" s="804"/>
      <c r="M6" s="804"/>
      <c r="N6" s="405"/>
    </row>
    <row r="7" spans="1:14" ht="17.25" customHeight="1">
      <c r="A7" s="1399"/>
      <c r="B7" s="1389" t="s">
        <v>674</v>
      </c>
      <c r="C7" s="1387" t="s">
        <v>704</v>
      </c>
      <c r="D7" s="1387" t="s">
        <v>705</v>
      </c>
      <c r="E7" s="801"/>
      <c r="F7" s="1387" t="s">
        <v>1026</v>
      </c>
      <c r="G7" s="1387"/>
      <c r="H7" s="1387" t="s">
        <v>672</v>
      </c>
      <c r="I7" s="1387" t="s">
        <v>190</v>
      </c>
      <c r="J7" s="805"/>
      <c r="K7" s="1401"/>
      <c r="L7" s="805"/>
      <c r="M7" s="1403" t="s">
        <v>641</v>
      </c>
      <c r="N7" s="405"/>
    </row>
    <row r="8" spans="1:14" ht="67.5" customHeight="1">
      <c r="A8" s="1400"/>
      <c r="B8" s="1390"/>
      <c r="C8" s="1388"/>
      <c r="D8" s="1388"/>
      <c r="E8" s="802" t="s">
        <v>706</v>
      </c>
      <c r="F8" s="1388"/>
      <c r="G8" s="1388"/>
      <c r="H8" s="1388"/>
      <c r="I8" s="1388"/>
      <c r="J8" s="806"/>
      <c r="K8" s="1402"/>
      <c r="L8" s="806"/>
      <c r="M8" s="1404"/>
      <c r="N8" s="405"/>
    </row>
    <row r="9" spans="1:14" s="796" customFormat="1" ht="12.75">
      <c r="A9" s="1244">
        <v>11801</v>
      </c>
      <c r="B9" s="807" t="s">
        <v>42</v>
      </c>
      <c r="C9" s="808"/>
      <c r="D9" s="808"/>
      <c r="E9" s="808"/>
      <c r="F9" s="808"/>
      <c r="G9" s="808"/>
      <c r="H9" s="808">
        <v>0</v>
      </c>
      <c r="I9" s="808">
        <v>1091</v>
      </c>
      <c r="J9" s="808">
        <v>0</v>
      </c>
      <c r="K9" s="809"/>
      <c r="L9" s="808"/>
      <c r="M9" s="799">
        <f>SUM(H9:I9)</f>
        <v>1091</v>
      </c>
      <c r="N9" s="795"/>
    </row>
    <row r="10" spans="1:14" s="796" customFormat="1" ht="12.75" hidden="1">
      <c r="A10" s="1244">
        <v>11802</v>
      </c>
      <c r="B10" s="807" t="s">
        <v>43</v>
      </c>
      <c r="C10" s="808"/>
      <c r="D10" s="808"/>
      <c r="E10" s="808"/>
      <c r="F10" s="808"/>
      <c r="G10" s="808"/>
      <c r="H10" s="808">
        <v>0</v>
      </c>
      <c r="I10" s="808"/>
      <c r="J10" s="808">
        <v>0</v>
      </c>
      <c r="K10" s="809"/>
      <c r="L10" s="808"/>
      <c r="M10" s="799">
        <f t="shared" ref="M10:M47" si="0">SUM(H10:I10)</f>
        <v>0</v>
      </c>
      <c r="N10" s="795"/>
    </row>
    <row r="11" spans="1:14" s="796" customFormat="1" ht="12.75" hidden="1">
      <c r="A11" s="1244">
        <v>11804</v>
      </c>
      <c r="B11" s="807" t="s">
        <v>44</v>
      </c>
      <c r="C11" s="808"/>
      <c r="D11" s="808"/>
      <c r="E11" s="808"/>
      <c r="F11" s="808"/>
      <c r="G11" s="808"/>
      <c r="H11" s="808">
        <v>0</v>
      </c>
      <c r="I11" s="808"/>
      <c r="J11" s="808">
        <v>0</v>
      </c>
      <c r="K11" s="809"/>
      <c r="L11" s="808"/>
      <c r="M11" s="799">
        <f t="shared" si="0"/>
        <v>0</v>
      </c>
      <c r="N11" s="795"/>
    </row>
    <row r="12" spans="1:14" s="796" customFormat="1" ht="12.75" hidden="1">
      <c r="A12" s="1244">
        <v>11806</v>
      </c>
      <c r="B12" s="807" t="s">
        <v>45</v>
      </c>
      <c r="C12" s="808"/>
      <c r="D12" s="808"/>
      <c r="E12" s="808"/>
      <c r="F12" s="808"/>
      <c r="G12" s="808"/>
      <c r="H12" s="808">
        <v>0</v>
      </c>
      <c r="I12" s="808"/>
      <c r="J12" s="808">
        <v>0</v>
      </c>
      <c r="K12" s="809"/>
      <c r="L12" s="808"/>
      <c r="M12" s="799">
        <f t="shared" si="0"/>
        <v>0</v>
      </c>
      <c r="N12" s="795"/>
    </row>
    <row r="13" spans="1:14" s="796" customFormat="1" ht="12.75" hidden="1">
      <c r="A13" s="1245">
        <v>11816</v>
      </c>
      <c r="B13" s="810" t="s">
        <v>46</v>
      </c>
      <c r="C13" s="808"/>
      <c r="D13" s="808"/>
      <c r="E13" s="808"/>
      <c r="F13" s="808"/>
      <c r="G13" s="808"/>
      <c r="H13" s="808">
        <v>0</v>
      </c>
      <c r="I13" s="808"/>
      <c r="J13" s="808"/>
      <c r="K13" s="809"/>
      <c r="L13" s="808"/>
      <c r="M13" s="799">
        <f t="shared" si="0"/>
        <v>0</v>
      </c>
      <c r="N13" s="795"/>
    </row>
    <row r="14" spans="1:14" s="796" customFormat="1" ht="12.75">
      <c r="A14" s="1245">
        <v>11817</v>
      </c>
      <c r="B14" s="810" t="s">
        <v>392</v>
      </c>
      <c r="C14" s="808"/>
      <c r="D14" s="808"/>
      <c r="E14" s="808"/>
      <c r="F14" s="808"/>
      <c r="G14" s="808"/>
      <c r="H14" s="808">
        <v>0</v>
      </c>
      <c r="I14" s="808">
        <v>2210</v>
      </c>
      <c r="J14" s="808"/>
      <c r="K14" s="809"/>
      <c r="L14" s="808"/>
      <c r="M14" s="799">
        <f t="shared" si="0"/>
        <v>2210</v>
      </c>
      <c r="N14" s="795"/>
    </row>
    <row r="15" spans="1:14" s="796" customFormat="1" ht="21" customHeight="1">
      <c r="A15" s="1244">
        <v>11818</v>
      </c>
      <c r="B15" s="807" t="s">
        <v>205</v>
      </c>
      <c r="C15" s="808"/>
      <c r="D15" s="808"/>
      <c r="E15" s="808"/>
      <c r="F15" s="808"/>
      <c r="G15" s="808"/>
      <c r="H15" s="808">
        <v>0</v>
      </c>
      <c r="I15" s="808">
        <v>897.26</v>
      </c>
      <c r="J15" s="808"/>
      <c r="K15" s="809"/>
      <c r="L15" s="808"/>
      <c r="M15" s="799">
        <f t="shared" si="0"/>
        <v>897.26</v>
      </c>
      <c r="N15" s="795"/>
    </row>
    <row r="16" spans="1:14" s="796" customFormat="1" ht="21" customHeight="1">
      <c r="A16" s="1244">
        <v>11899</v>
      </c>
      <c r="B16" s="807" t="s">
        <v>47</v>
      </c>
      <c r="C16" s="808"/>
      <c r="D16" s="808"/>
      <c r="E16" s="808"/>
      <c r="F16" s="808"/>
      <c r="G16" s="808"/>
      <c r="H16" s="808">
        <v>0</v>
      </c>
      <c r="I16" s="808">
        <v>44844.15</v>
      </c>
      <c r="J16" s="808"/>
      <c r="K16" s="809"/>
      <c r="L16" s="808"/>
      <c r="M16" s="799">
        <f t="shared" si="0"/>
        <v>44844.15</v>
      </c>
      <c r="N16" s="797">
        <f>SUM(M9:M16)</f>
        <v>49042.41</v>
      </c>
    </row>
    <row r="17" spans="1:14" s="796" customFormat="1" ht="21" customHeight="1">
      <c r="A17" s="1244">
        <v>12105</v>
      </c>
      <c r="B17" s="807" t="s">
        <v>48</v>
      </c>
      <c r="C17" s="808"/>
      <c r="D17" s="808"/>
      <c r="E17" s="808"/>
      <c r="F17" s="808"/>
      <c r="G17" s="808"/>
      <c r="H17" s="808">
        <v>0</v>
      </c>
      <c r="I17" s="808">
        <v>10774.52</v>
      </c>
      <c r="J17" s="808"/>
      <c r="K17" s="809"/>
      <c r="L17" s="808"/>
      <c r="M17" s="799">
        <f t="shared" si="0"/>
        <v>10774.52</v>
      </c>
      <c r="N17" s="795"/>
    </row>
    <row r="18" spans="1:14" s="796" customFormat="1" ht="21" customHeight="1">
      <c r="A18" s="1244">
        <v>12106</v>
      </c>
      <c r="B18" s="807" t="s">
        <v>791</v>
      </c>
      <c r="C18" s="808"/>
      <c r="D18" s="808"/>
      <c r="E18" s="808"/>
      <c r="F18" s="808"/>
      <c r="G18" s="808"/>
      <c r="H18" s="808">
        <v>0</v>
      </c>
      <c r="I18" s="808">
        <v>421</v>
      </c>
      <c r="J18" s="808"/>
      <c r="K18" s="809"/>
      <c r="L18" s="808"/>
      <c r="M18" s="799">
        <f t="shared" si="0"/>
        <v>421</v>
      </c>
      <c r="N18" s="795"/>
    </row>
    <row r="19" spans="1:14" s="796" customFormat="1" ht="21" customHeight="1">
      <c r="A19" s="1244">
        <v>12108</v>
      </c>
      <c r="B19" s="807" t="s">
        <v>28</v>
      </c>
      <c r="C19" s="808"/>
      <c r="D19" s="808"/>
      <c r="E19" s="808"/>
      <c r="F19" s="808"/>
      <c r="G19" s="808"/>
      <c r="H19" s="808">
        <v>0</v>
      </c>
      <c r="I19" s="808">
        <v>16067.87</v>
      </c>
      <c r="J19" s="808"/>
      <c r="K19" s="809"/>
      <c r="L19" s="808"/>
      <c r="M19" s="799">
        <f t="shared" si="0"/>
        <v>16067.87</v>
      </c>
      <c r="N19" s="795"/>
    </row>
    <row r="20" spans="1:14" s="796" customFormat="1" ht="21" hidden="1" customHeight="1">
      <c r="A20" s="1244">
        <v>12110</v>
      </c>
      <c r="B20" s="807" t="s">
        <v>719</v>
      </c>
      <c r="C20" s="808"/>
      <c r="D20" s="808"/>
      <c r="E20" s="808"/>
      <c r="F20" s="808"/>
      <c r="G20" s="808"/>
      <c r="H20" s="808">
        <v>0</v>
      </c>
      <c r="I20" s="808"/>
      <c r="J20" s="808"/>
      <c r="K20" s="809"/>
      <c r="L20" s="808"/>
      <c r="M20" s="799">
        <f t="shared" si="0"/>
        <v>0</v>
      </c>
      <c r="N20" s="795"/>
    </row>
    <row r="21" spans="1:14" s="796" customFormat="1" ht="21" customHeight="1">
      <c r="A21" s="1244">
        <v>12111</v>
      </c>
      <c r="B21" s="807" t="s">
        <v>49</v>
      </c>
      <c r="C21" s="808"/>
      <c r="D21" s="808"/>
      <c r="E21" s="808"/>
      <c r="F21" s="808"/>
      <c r="G21" s="808"/>
      <c r="H21" s="808">
        <v>0</v>
      </c>
      <c r="I21" s="808">
        <v>1840</v>
      </c>
      <c r="J21" s="808"/>
      <c r="K21" s="809"/>
      <c r="L21" s="808"/>
      <c r="M21" s="799">
        <f t="shared" si="0"/>
        <v>1840</v>
      </c>
      <c r="N21" s="795"/>
    </row>
    <row r="22" spans="1:14" s="796" customFormat="1" ht="21" customHeight="1">
      <c r="A22" s="1244">
        <v>12112</v>
      </c>
      <c r="B22" s="807" t="s">
        <v>50</v>
      </c>
      <c r="C22" s="808"/>
      <c r="D22" s="808"/>
      <c r="E22" s="808"/>
      <c r="F22" s="808"/>
      <c r="G22" s="808"/>
      <c r="H22" s="808">
        <v>0</v>
      </c>
      <c r="I22" s="808">
        <v>24614.560000000001</v>
      </c>
      <c r="J22" s="808"/>
      <c r="K22" s="809"/>
      <c r="L22" s="808"/>
      <c r="M22" s="799">
        <f t="shared" si="0"/>
        <v>24614.560000000001</v>
      </c>
      <c r="N22" s="795"/>
    </row>
    <row r="23" spans="1:14" s="796" customFormat="1" ht="21" customHeight="1">
      <c r="A23" s="1244">
        <v>12114</v>
      </c>
      <c r="B23" s="807" t="s">
        <v>51</v>
      </c>
      <c r="C23" s="808"/>
      <c r="D23" s="808"/>
      <c r="E23" s="808"/>
      <c r="F23" s="808"/>
      <c r="G23" s="808"/>
      <c r="H23" s="808">
        <v>0</v>
      </c>
      <c r="I23" s="808">
        <v>14860.81</v>
      </c>
      <c r="J23" s="808"/>
      <c r="K23" s="809"/>
      <c r="L23" s="808"/>
      <c r="M23" s="799">
        <f t="shared" si="0"/>
        <v>14860.81</v>
      </c>
      <c r="N23" s="795"/>
    </row>
    <row r="24" spans="1:14" s="796" customFormat="1" ht="21" customHeight="1">
      <c r="A24" s="1244">
        <v>12115</v>
      </c>
      <c r="B24" s="807" t="s">
        <v>52</v>
      </c>
      <c r="C24" s="808"/>
      <c r="D24" s="808"/>
      <c r="E24" s="808"/>
      <c r="F24" s="808"/>
      <c r="G24" s="808"/>
      <c r="H24" s="808">
        <v>0</v>
      </c>
      <c r="I24" s="808">
        <v>78.12</v>
      </c>
      <c r="J24" s="808"/>
      <c r="K24" s="809"/>
      <c r="L24" s="808"/>
      <c r="M24" s="799">
        <f t="shared" si="0"/>
        <v>78.12</v>
      </c>
      <c r="N24" s="795"/>
    </row>
    <row r="25" spans="1:14" s="796" customFormat="1" ht="21" customHeight="1">
      <c r="A25" s="1244">
        <v>12117</v>
      </c>
      <c r="B25" s="807" t="s">
        <v>53</v>
      </c>
      <c r="C25" s="808"/>
      <c r="D25" s="808"/>
      <c r="E25" s="808"/>
      <c r="F25" s="808"/>
      <c r="G25" s="808"/>
      <c r="H25" s="808">
        <v>0</v>
      </c>
      <c r="I25" s="808">
        <v>3687.35</v>
      </c>
      <c r="J25" s="808"/>
      <c r="K25" s="809"/>
      <c r="L25" s="808"/>
      <c r="M25" s="799">
        <f t="shared" si="0"/>
        <v>3687.35</v>
      </c>
      <c r="N25" s="795"/>
    </row>
    <row r="26" spans="1:14" s="796" customFormat="1" ht="21" customHeight="1">
      <c r="A26" s="1244">
        <v>12118</v>
      </c>
      <c r="B26" s="807" t="s">
        <v>54</v>
      </c>
      <c r="C26" s="808"/>
      <c r="D26" s="808"/>
      <c r="E26" s="808"/>
      <c r="F26" s="808"/>
      <c r="G26" s="808"/>
      <c r="H26" s="808">
        <v>0</v>
      </c>
      <c r="I26" s="808">
        <v>42473</v>
      </c>
      <c r="J26" s="808"/>
      <c r="K26" s="809"/>
      <c r="L26" s="808"/>
      <c r="M26" s="799">
        <f t="shared" si="0"/>
        <v>42473</v>
      </c>
      <c r="N26" s="795"/>
    </row>
    <row r="27" spans="1:14" s="796" customFormat="1" ht="21" customHeight="1">
      <c r="A27" s="1244">
        <v>12119</v>
      </c>
      <c r="B27" s="807" t="s">
        <v>55</v>
      </c>
      <c r="C27" s="808"/>
      <c r="D27" s="808"/>
      <c r="E27" s="808"/>
      <c r="F27" s="808"/>
      <c r="G27" s="808"/>
      <c r="H27" s="808">
        <v>0</v>
      </c>
      <c r="I27" s="808">
        <v>847.32</v>
      </c>
      <c r="J27" s="808"/>
      <c r="K27" s="809"/>
      <c r="L27" s="808"/>
      <c r="M27" s="799">
        <f t="shared" si="0"/>
        <v>847.32</v>
      </c>
      <c r="N27" s="795"/>
    </row>
    <row r="28" spans="1:14" s="796" customFormat="1" ht="21" customHeight="1">
      <c r="A28" s="1244">
        <v>12199</v>
      </c>
      <c r="B28" s="807" t="s">
        <v>56</v>
      </c>
      <c r="C28" s="808"/>
      <c r="D28" s="808"/>
      <c r="E28" s="808"/>
      <c r="F28" s="808"/>
      <c r="G28" s="808"/>
      <c r="H28" s="808">
        <v>0</v>
      </c>
      <c r="I28" s="808">
        <v>112</v>
      </c>
      <c r="J28" s="808"/>
      <c r="K28" s="809"/>
      <c r="L28" s="808"/>
      <c r="M28" s="799">
        <f t="shared" si="0"/>
        <v>112</v>
      </c>
      <c r="N28" s="795"/>
    </row>
    <row r="29" spans="1:14" s="796" customFormat="1" ht="21" customHeight="1">
      <c r="A29" s="1244">
        <v>12210</v>
      </c>
      <c r="B29" s="807" t="s">
        <v>29</v>
      </c>
      <c r="C29" s="808"/>
      <c r="D29" s="808"/>
      <c r="E29" s="808"/>
      <c r="F29" s="808"/>
      <c r="G29" s="808"/>
      <c r="H29" s="808">
        <v>0</v>
      </c>
      <c r="I29" s="808">
        <v>49382.86</v>
      </c>
      <c r="J29" s="808"/>
      <c r="K29" s="809"/>
      <c r="L29" s="808"/>
      <c r="M29" s="799">
        <f t="shared" si="0"/>
        <v>49382.86</v>
      </c>
      <c r="N29" s="795"/>
    </row>
    <row r="30" spans="1:14" s="796" customFormat="1" ht="21" customHeight="1">
      <c r="A30" s="1244">
        <v>12211</v>
      </c>
      <c r="B30" s="811" t="s">
        <v>30</v>
      </c>
      <c r="C30" s="808"/>
      <c r="D30" s="808"/>
      <c r="E30" s="808"/>
      <c r="F30" s="808"/>
      <c r="G30" s="808"/>
      <c r="H30" s="808">
        <v>0</v>
      </c>
      <c r="I30" s="808">
        <v>27.53</v>
      </c>
      <c r="J30" s="808"/>
      <c r="K30" s="809"/>
      <c r="L30" s="808"/>
      <c r="M30" s="799">
        <f t="shared" si="0"/>
        <v>27.53</v>
      </c>
      <c r="N30" s="795"/>
    </row>
    <row r="31" spans="1:14" s="796" customFormat="1" ht="21" customHeight="1">
      <c r="A31" s="1244">
        <v>12299</v>
      </c>
      <c r="B31" s="807" t="s">
        <v>57</v>
      </c>
      <c r="C31" s="808"/>
      <c r="D31" s="808"/>
      <c r="E31" s="808"/>
      <c r="F31" s="808"/>
      <c r="G31" s="808"/>
      <c r="H31" s="808">
        <v>0</v>
      </c>
      <c r="I31" s="808">
        <v>390</v>
      </c>
      <c r="J31" s="808"/>
      <c r="K31" s="809"/>
      <c r="L31" s="808"/>
      <c r="M31" s="799">
        <f t="shared" si="0"/>
        <v>390</v>
      </c>
      <c r="N31" s="797">
        <f>SUM(M17:M31)</f>
        <v>165576.94</v>
      </c>
    </row>
    <row r="32" spans="1:14" s="796" customFormat="1" ht="21" customHeight="1">
      <c r="A32" s="1244">
        <v>14201</v>
      </c>
      <c r="B32" s="807" t="s">
        <v>998</v>
      </c>
      <c r="C32" s="808"/>
      <c r="D32" s="808"/>
      <c r="E32" s="808"/>
      <c r="F32" s="808"/>
      <c r="G32" s="808"/>
      <c r="H32" s="808">
        <v>0</v>
      </c>
      <c r="I32" s="808">
        <v>13000.63</v>
      </c>
      <c r="J32" s="808"/>
      <c r="K32" s="809"/>
      <c r="L32" s="808"/>
      <c r="M32" s="799">
        <f t="shared" si="0"/>
        <v>13000.63</v>
      </c>
      <c r="N32" s="795"/>
    </row>
    <row r="33" spans="1:14" s="796" customFormat="1" ht="20.25" customHeight="1">
      <c r="A33" s="1244">
        <v>14299</v>
      </c>
      <c r="B33" s="807" t="s">
        <v>58</v>
      </c>
      <c r="C33" s="808"/>
      <c r="D33" s="808"/>
      <c r="E33" s="808"/>
      <c r="F33" s="808"/>
      <c r="G33" s="808"/>
      <c r="H33" s="808">
        <v>0</v>
      </c>
      <c r="I33" s="808">
        <v>31.4</v>
      </c>
      <c r="J33" s="808"/>
      <c r="K33" s="809"/>
      <c r="L33" s="808"/>
      <c r="M33" s="799">
        <f t="shared" si="0"/>
        <v>31.4</v>
      </c>
      <c r="N33" s="797">
        <f>SUM(M32:M33)</f>
        <v>13032.029999999999</v>
      </c>
    </row>
    <row r="34" spans="1:14" s="796" customFormat="1" ht="9.75" hidden="1" customHeight="1">
      <c r="A34" s="1244"/>
      <c r="B34" s="807"/>
      <c r="C34" s="808"/>
      <c r="D34" s="808"/>
      <c r="E34" s="808"/>
      <c r="F34" s="808"/>
      <c r="G34" s="808"/>
      <c r="H34" s="808"/>
      <c r="I34" s="808"/>
      <c r="J34" s="808"/>
      <c r="K34" s="809"/>
      <c r="L34" s="808"/>
      <c r="M34" s="799">
        <f t="shared" si="0"/>
        <v>0</v>
      </c>
      <c r="N34" s="795"/>
    </row>
    <row r="35" spans="1:14" s="796" customFormat="1" ht="21" customHeight="1">
      <c r="A35" s="1244">
        <v>15301</v>
      </c>
      <c r="B35" s="807" t="s">
        <v>59</v>
      </c>
      <c r="C35" s="808"/>
      <c r="D35" s="808"/>
      <c r="E35" s="808"/>
      <c r="F35" s="808"/>
      <c r="G35" s="808"/>
      <c r="H35" s="808">
        <v>0</v>
      </c>
      <c r="I35" s="808">
        <v>2932.69</v>
      </c>
      <c r="J35" s="808"/>
      <c r="K35" s="809"/>
      <c r="L35" s="808"/>
      <c r="M35" s="799">
        <f t="shared" si="0"/>
        <v>2932.69</v>
      </c>
      <c r="N35" s="795"/>
    </row>
    <row r="36" spans="1:14" s="796" customFormat="1" ht="12.75">
      <c r="A36" s="1244">
        <v>15302</v>
      </c>
      <c r="B36" s="807" t="s">
        <v>60</v>
      </c>
      <c r="C36" s="808"/>
      <c r="D36" s="808"/>
      <c r="E36" s="808"/>
      <c r="F36" s="808"/>
      <c r="G36" s="808"/>
      <c r="H36" s="808">
        <v>0</v>
      </c>
      <c r="I36" s="808">
        <v>1854.64</v>
      </c>
      <c r="J36" s="808"/>
      <c r="K36" s="809"/>
      <c r="L36" s="808"/>
      <c r="M36" s="799">
        <f t="shared" si="0"/>
        <v>1854.64</v>
      </c>
      <c r="N36" s="795"/>
    </row>
    <row r="37" spans="1:14" s="796" customFormat="1" ht="12.75" hidden="1">
      <c r="A37" s="1244">
        <v>15312</v>
      </c>
      <c r="B37" s="807" t="s">
        <v>61</v>
      </c>
      <c r="C37" s="808"/>
      <c r="D37" s="808"/>
      <c r="E37" s="808"/>
      <c r="F37" s="808"/>
      <c r="G37" s="808"/>
      <c r="H37" s="808"/>
      <c r="I37" s="808"/>
      <c r="J37" s="808"/>
      <c r="K37" s="809"/>
      <c r="L37" s="808"/>
      <c r="M37" s="799">
        <f t="shared" si="0"/>
        <v>0</v>
      </c>
      <c r="N37" s="795"/>
    </row>
    <row r="38" spans="1:14" s="796" customFormat="1" ht="12.75">
      <c r="A38" s="1246">
        <v>15703</v>
      </c>
      <c r="B38" s="812" t="s">
        <v>999</v>
      </c>
      <c r="C38" s="808"/>
      <c r="D38" s="808"/>
      <c r="E38" s="808"/>
      <c r="F38" s="808"/>
      <c r="G38" s="808"/>
      <c r="H38" s="808">
        <v>0</v>
      </c>
      <c r="I38" s="808">
        <v>8.58</v>
      </c>
      <c r="J38" s="808"/>
      <c r="K38" s="809"/>
      <c r="L38" s="808"/>
      <c r="M38" s="799">
        <f t="shared" si="0"/>
        <v>8.58</v>
      </c>
      <c r="N38" s="795"/>
    </row>
    <row r="39" spans="1:14" s="796" customFormat="1" ht="21" customHeight="1">
      <c r="A39" s="1244">
        <v>15703</v>
      </c>
      <c r="B39" s="807" t="s">
        <v>62</v>
      </c>
      <c r="C39" s="808"/>
      <c r="D39" s="808"/>
      <c r="E39" s="808"/>
      <c r="F39" s="808"/>
      <c r="G39" s="808"/>
      <c r="H39" s="808">
        <v>0</v>
      </c>
      <c r="I39" s="809">
        <v>1.32</v>
      </c>
      <c r="J39" s="808"/>
      <c r="K39" s="809"/>
      <c r="L39" s="808"/>
      <c r="M39" s="799">
        <f t="shared" si="0"/>
        <v>1.32</v>
      </c>
      <c r="N39" s="795"/>
    </row>
    <row r="40" spans="1:14" s="796" customFormat="1" ht="21" customHeight="1">
      <c r="A40" s="1244">
        <v>15799</v>
      </c>
      <c r="B40" s="807" t="s">
        <v>63</v>
      </c>
      <c r="C40" s="808"/>
      <c r="D40" s="808"/>
      <c r="E40" s="808"/>
      <c r="F40" s="808"/>
      <c r="G40" s="808"/>
      <c r="H40" s="808">
        <v>0</v>
      </c>
      <c r="I40" s="808">
        <v>10000.959999999999</v>
      </c>
      <c r="J40" s="808"/>
      <c r="K40" s="809"/>
      <c r="L40" s="808"/>
      <c r="M40" s="799">
        <f>SUM(H40:I40)</f>
        <v>10000.959999999999</v>
      </c>
      <c r="N40" s="797">
        <f>SUM(M35:M40)</f>
        <v>14798.189999999999</v>
      </c>
    </row>
    <row r="41" spans="1:14" s="796" customFormat="1" ht="21" customHeight="1">
      <c r="A41" s="1244">
        <v>16201</v>
      </c>
      <c r="B41" s="807" t="s">
        <v>64</v>
      </c>
      <c r="C41" s="813">
        <f>SUM('Saldos de ctas. Bancarias'!C63)</f>
        <v>0</v>
      </c>
      <c r="D41" s="813">
        <f>'Saldos de ctas. Bancarias'!C70</f>
        <v>371912.88</v>
      </c>
      <c r="E41" s="813"/>
      <c r="F41" s="813"/>
      <c r="G41" s="813"/>
      <c r="H41" s="808">
        <f>SUM(C41:F41)</f>
        <v>371912.88</v>
      </c>
      <c r="I41" s="808"/>
      <c r="J41" s="813"/>
      <c r="K41" s="809"/>
      <c r="L41" s="813"/>
      <c r="M41" s="799">
        <f>SUM(H41:I41)</f>
        <v>371912.88</v>
      </c>
      <c r="N41" s="798">
        <f>M41</f>
        <v>371912.88</v>
      </c>
    </row>
    <row r="42" spans="1:14" s="796" customFormat="1" ht="12.75">
      <c r="A42" s="1244">
        <v>22201</v>
      </c>
      <c r="B42" s="814" t="s">
        <v>1027</v>
      </c>
      <c r="C42" s="808"/>
      <c r="D42" s="808"/>
      <c r="E42" s="808"/>
      <c r="F42" s="808">
        <v>192000</v>
      </c>
      <c r="G42" s="808"/>
      <c r="H42" s="808">
        <f t="shared" ref="H42:H51" si="1">SUM(C42:F42)</f>
        <v>192000</v>
      </c>
      <c r="I42" s="808"/>
      <c r="J42" s="808"/>
      <c r="K42" s="809"/>
      <c r="L42" s="808"/>
      <c r="M42" s="799">
        <f>SUM(H42:I42)</f>
        <v>192000</v>
      </c>
      <c r="N42" s="795"/>
    </row>
    <row r="43" spans="1:14" s="796" customFormat="1" ht="24" hidden="1">
      <c r="A43" s="1244">
        <v>22201</v>
      </c>
      <c r="B43" s="815" t="s">
        <v>66</v>
      </c>
      <c r="C43" s="808"/>
      <c r="D43" s="808"/>
      <c r="E43" s="808"/>
      <c r="F43" s="808"/>
      <c r="G43" s="808"/>
      <c r="H43" s="808">
        <f t="shared" si="1"/>
        <v>0</v>
      </c>
      <c r="I43" s="808"/>
      <c r="J43" s="808"/>
      <c r="K43" s="809"/>
      <c r="L43" s="808"/>
      <c r="M43" s="799">
        <f t="shared" si="0"/>
        <v>0</v>
      </c>
      <c r="N43" s="795"/>
    </row>
    <row r="44" spans="1:14" s="796" customFormat="1" ht="24" hidden="1">
      <c r="A44" s="1244">
        <v>22201</v>
      </c>
      <c r="B44" s="815" t="s">
        <v>67</v>
      </c>
      <c r="C44" s="808"/>
      <c r="D44" s="808"/>
      <c r="E44" s="808"/>
      <c r="F44" s="808"/>
      <c r="G44" s="808"/>
      <c r="H44" s="808">
        <f t="shared" si="1"/>
        <v>0</v>
      </c>
      <c r="I44" s="808"/>
      <c r="J44" s="808"/>
      <c r="K44" s="809"/>
      <c r="L44" s="808"/>
      <c r="M44" s="799">
        <f t="shared" si="0"/>
        <v>0</v>
      </c>
      <c r="N44" s="797">
        <f>SUM(M42:M44)</f>
        <v>192000</v>
      </c>
    </row>
    <row r="45" spans="1:14" s="796" customFormat="1" ht="24" hidden="1">
      <c r="A45" s="1244">
        <v>22224</v>
      </c>
      <c r="B45" s="815" t="s">
        <v>618</v>
      </c>
      <c r="C45" s="808"/>
      <c r="D45" s="808"/>
      <c r="E45" s="808"/>
      <c r="F45" s="808"/>
      <c r="G45" s="808"/>
      <c r="H45" s="808">
        <f t="shared" si="1"/>
        <v>0</v>
      </c>
      <c r="I45" s="808"/>
      <c r="J45" s="808"/>
      <c r="K45" s="809"/>
      <c r="L45" s="808"/>
      <c r="M45" s="799">
        <f t="shared" si="0"/>
        <v>0</v>
      </c>
      <c r="N45" s="795"/>
    </row>
    <row r="46" spans="1:14" s="796" customFormat="1" ht="12.75" hidden="1">
      <c r="A46" s="1244">
        <v>31304</v>
      </c>
      <c r="B46" s="807" t="s">
        <v>71</v>
      </c>
      <c r="C46" s="808"/>
      <c r="D46" s="808"/>
      <c r="E46" s="808"/>
      <c r="F46" s="808"/>
      <c r="G46" s="808"/>
      <c r="H46" s="808">
        <f t="shared" si="1"/>
        <v>0</v>
      </c>
      <c r="I46" s="808"/>
      <c r="J46" s="808"/>
      <c r="K46" s="809"/>
      <c r="L46" s="808"/>
      <c r="M46" s="799">
        <f t="shared" si="0"/>
        <v>0</v>
      </c>
      <c r="N46" s="795"/>
    </row>
    <row r="47" spans="1:14" s="796" customFormat="1" ht="12.75" hidden="1">
      <c r="A47" s="1244">
        <v>32101</v>
      </c>
      <c r="B47" s="807" t="s">
        <v>68</v>
      </c>
      <c r="C47" s="808"/>
      <c r="D47" s="808"/>
      <c r="E47" s="808"/>
      <c r="F47" s="808"/>
      <c r="G47" s="808"/>
      <c r="H47" s="808">
        <f t="shared" si="1"/>
        <v>0</v>
      </c>
      <c r="I47" s="808"/>
      <c r="J47" s="808"/>
      <c r="K47" s="809"/>
      <c r="L47" s="808"/>
      <c r="M47" s="799">
        <f t="shared" si="0"/>
        <v>0</v>
      </c>
      <c r="N47" s="795"/>
    </row>
    <row r="48" spans="1:14" s="796" customFormat="1" ht="21" customHeight="1">
      <c r="A48" s="1244">
        <v>32102</v>
      </c>
      <c r="B48" s="807" t="s">
        <v>69</v>
      </c>
      <c r="C48" s="808">
        <f>SUM('Saldos de ctas. Bancarias'!C64,'Saldos de ctas. Bancarias'!C66)</f>
        <v>12495.47</v>
      </c>
      <c r="D48" s="808">
        <f>SUM('Saldos de ctas. Bancarias'!C71)</f>
        <v>236879.24999999997</v>
      </c>
      <c r="E48" s="808">
        <f>SUM('Saldos de ctas. Bancarias'!C77)</f>
        <v>637.87</v>
      </c>
      <c r="F48" s="808">
        <f>SUM('Saldos de ctas. Bancarias'!C72)</f>
        <v>54944.11</v>
      </c>
      <c r="G48" s="808"/>
      <c r="H48" s="808">
        <f>SUM(C48:F48)</f>
        <v>304956.69999999995</v>
      </c>
      <c r="I48" s="808">
        <f>'Saldos de ctas. Bancarias'!C6</f>
        <v>44485.02</v>
      </c>
      <c r="J48" s="808"/>
      <c r="K48" s="809">
        <f>SUM('Saldos de ctas. Bancarias'!C79)</f>
        <v>0</v>
      </c>
      <c r="L48" s="808"/>
      <c r="M48" s="799">
        <f>SUM(H48:I48)</f>
        <v>349441.72</v>
      </c>
      <c r="N48" s="797">
        <f>SUM(M48:M51)</f>
        <v>385704.14999999997</v>
      </c>
    </row>
    <row r="49" spans="1:16" s="796" customFormat="1" ht="27" customHeight="1">
      <c r="A49" s="1244">
        <v>32201</v>
      </c>
      <c r="B49" s="815" t="s">
        <v>70</v>
      </c>
      <c r="C49" s="808"/>
      <c r="D49" s="808"/>
      <c r="E49" s="808"/>
      <c r="F49" s="808">
        <f>SUM('Saldos de ctas. Bancarias'!C74)</f>
        <v>0</v>
      </c>
      <c r="G49" s="808"/>
      <c r="H49" s="808">
        <f t="shared" si="1"/>
        <v>0</v>
      </c>
      <c r="I49" s="1210">
        <f>SUM('Media Simple 5 años ingresos'!I63)</f>
        <v>36262.430000000008</v>
      </c>
      <c r="J49" s="808"/>
      <c r="K49" s="809"/>
      <c r="L49" s="808"/>
      <c r="M49" s="799">
        <f>SUM(H49:I49)</f>
        <v>36262.430000000008</v>
      </c>
      <c r="N49" s="795"/>
    </row>
    <row r="50" spans="1:16" s="796" customFormat="1" ht="27" hidden="1" customHeight="1">
      <c r="A50" s="1244">
        <v>32202</v>
      </c>
      <c r="B50" s="815" t="s">
        <v>1000</v>
      </c>
      <c r="C50" s="808"/>
      <c r="D50" s="808"/>
      <c r="E50" s="808"/>
      <c r="F50" s="808"/>
      <c r="G50" s="808"/>
      <c r="H50" s="808">
        <f t="shared" si="1"/>
        <v>0</v>
      </c>
      <c r="I50" s="808"/>
      <c r="J50" s="808"/>
      <c r="K50" s="809"/>
      <c r="L50" s="808"/>
      <c r="M50" s="799">
        <f>SUM(C50:I50)</f>
        <v>0</v>
      </c>
      <c r="N50" s="795"/>
    </row>
    <row r="51" spans="1:16" s="796" customFormat="1" ht="27" hidden="1" customHeight="1">
      <c r="A51" s="1244">
        <v>32202</v>
      </c>
      <c r="B51" s="815" t="s">
        <v>1001</v>
      </c>
      <c r="C51" s="808"/>
      <c r="D51" s="808"/>
      <c r="E51" s="808"/>
      <c r="F51" s="808"/>
      <c r="G51" s="808"/>
      <c r="H51" s="808">
        <f t="shared" si="1"/>
        <v>0</v>
      </c>
      <c r="I51" s="808"/>
      <c r="J51" s="808"/>
      <c r="K51" s="809"/>
      <c r="L51" s="808"/>
      <c r="M51" s="799">
        <f>SUM(C51:I51)</f>
        <v>0</v>
      </c>
      <c r="N51" s="795"/>
    </row>
    <row r="52" spans="1:16" s="42" customFormat="1" ht="31.5" customHeight="1">
      <c r="A52" s="1391" t="s">
        <v>72</v>
      </c>
      <c r="B52" s="1391"/>
      <c r="C52" s="800">
        <f>SUM(C9:C49)</f>
        <v>12495.47</v>
      </c>
      <c r="D52" s="800">
        <f>SUM(D9:D49)</f>
        <v>608792.13</v>
      </c>
      <c r="E52" s="800">
        <f>SUM(E9:E49)</f>
        <v>637.87</v>
      </c>
      <c r="F52" s="800">
        <f>SUM(F9:F49)</f>
        <v>246944.11</v>
      </c>
      <c r="G52" s="800">
        <f>SUM(G9:G49)</f>
        <v>0</v>
      </c>
      <c r="H52" s="800">
        <f>SUM(H9:H51)</f>
        <v>868869.58</v>
      </c>
      <c r="I52" s="800">
        <f>SUM(I9:I51)</f>
        <v>323197.02</v>
      </c>
      <c r="J52" s="800">
        <f>SUM(J9:J49)</f>
        <v>0</v>
      </c>
      <c r="K52" s="800">
        <f>SUM(K9:K49)</f>
        <v>0</v>
      </c>
      <c r="L52" s="800">
        <f>SUM(L9:L49)</f>
        <v>0</v>
      </c>
      <c r="M52" s="800">
        <f>SUM(M9:M51)</f>
        <v>1192066.5999999999</v>
      </c>
      <c r="N52" s="501">
        <f>SUM(N9:N51)</f>
        <v>1192066.5999999999</v>
      </c>
      <c r="O52" s="42">
        <f>H52+I52</f>
        <v>1192066.6000000001</v>
      </c>
      <c r="P52" s="42" t="s">
        <v>1028</v>
      </c>
    </row>
    <row r="53" spans="1:16">
      <c r="A53" s="1247"/>
      <c r="B53" s="435"/>
      <c r="C53" s="126"/>
      <c r="D53" s="126"/>
      <c r="E53" s="126"/>
      <c r="F53" s="126"/>
      <c r="G53" s="126"/>
      <c r="H53" s="436"/>
      <c r="I53" s="126"/>
      <c r="J53" s="126"/>
      <c r="K53" s="126"/>
      <c r="L53" s="433"/>
      <c r="M53"/>
      <c r="N53"/>
    </row>
    <row r="54" spans="1:16">
      <c r="A54" s="1248"/>
      <c r="B54" s="13"/>
      <c r="C54" s="124"/>
      <c r="D54" s="124"/>
      <c r="E54" s="124"/>
      <c r="F54" s="124"/>
      <c r="G54" s="124"/>
      <c r="H54" s="434"/>
      <c r="I54" s="124"/>
      <c r="J54" s="124"/>
      <c r="L54" s="433"/>
      <c r="M54" s="1204"/>
      <c r="N54"/>
    </row>
    <row r="55" spans="1:16">
      <c r="A55" s="1248"/>
      <c r="B55" s="13"/>
      <c r="C55" s="124"/>
      <c r="D55" s="124"/>
      <c r="E55" s="124"/>
      <c r="F55" s="124"/>
      <c r="G55" s="124"/>
      <c r="H55" s="434"/>
      <c r="I55" s="124"/>
      <c r="J55" s="124"/>
      <c r="L55" s="433"/>
      <c r="M55"/>
      <c r="N55"/>
    </row>
    <row r="56" spans="1:16">
      <c r="A56" s="1248"/>
      <c r="B56" s="13"/>
      <c r="C56" s="124"/>
      <c r="D56" s="124"/>
      <c r="E56" s="124"/>
      <c r="F56" s="124"/>
      <c r="G56" s="124"/>
      <c r="H56" s="434"/>
      <c r="I56" s="124"/>
      <c r="J56" s="124"/>
      <c r="L56" s="433"/>
      <c r="M56"/>
      <c r="N56"/>
    </row>
    <row r="57" spans="1:16">
      <c r="A57" s="1248"/>
      <c r="B57" s="13"/>
      <c r="C57" s="124"/>
      <c r="D57" s="124"/>
      <c r="E57" s="124"/>
      <c r="F57" s="124"/>
      <c r="G57" s="124"/>
      <c r="H57" s="434"/>
      <c r="I57" s="124"/>
      <c r="J57" s="124"/>
      <c r="L57" s="433"/>
      <c r="M57"/>
      <c r="N57"/>
    </row>
    <row r="58" spans="1:16">
      <c r="A58" s="1248"/>
      <c r="B58" s="13"/>
      <c r="C58" s="124"/>
      <c r="D58" s="124"/>
      <c r="E58" s="124"/>
      <c r="F58" s="124"/>
      <c r="G58" s="124"/>
      <c r="H58" s="434"/>
      <c r="I58" s="124"/>
      <c r="J58" s="124"/>
      <c r="L58" s="433"/>
      <c r="M58"/>
      <c r="N58"/>
    </row>
    <row r="59" spans="1:16">
      <c r="A59" s="1248"/>
      <c r="B59" s="13"/>
      <c r="C59" s="124"/>
      <c r="D59" s="124"/>
      <c r="E59" s="124"/>
      <c r="F59" s="124"/>
      <c r="G59" s="124"/>
      <c r="H59" s="434"/>
      <c r="I59" s="124"/>
      <c r="J59" s="124"/>
      <c r="L59" s="433"/>
      <c r="M59"/>
      <c r="N59"/>
    </row>
    <row r="60" spans="1:16">
      <c r="A60" s="1248"/>
      <c r="B60" s="13"/>
      <c r="C60" s="124"/>
      <c r="D60" s="124"/>
      <c r="E60" s="124"/>
      <c r="F60" s="124"/>
      <c r="G60" s="124"/>
      <c r="H60" s="434"/>
      <c r="I60" s="124"/>
      <c r="J60" s="124"/>
      <c r="L60" s="433"/>
      <c r="M60"/>
      <c r="N60"/>
    </row>
    <row r="61" spans="1:16">
      <c r="A61" s="1248"/>
      <c r="B61" s="13"/>
      <c r="C61" s="124"/>
      <c r="D61" s="124"/>
      <c r="E61" s="124"/>
      <c r="F61" s="124"/>
      <c r="G61" s="124"/>
      <c r="H61" s="434"/>
      <c r="I61" s="124"/>
      <c r="J61" s="124"/>
      <c r="L61" s="433"/>
      <c r="M61"/>
      <c r="N61"/>
    </row>
    <row r="62" spans="1:16">
      <c r="A62" s="1248"/>
      <c r="B62" s="13"/>
      <c r="C62" s="124"/>
      <c r="D62" s="124"/>
      <c r="E62" s="124"/>
      <c r="F62" s="124"/>
      <c r="G62" s="124"/>
      <c r="H62" s="434"/>
      <c r="I62" s="124"/>
      <c r="J62" s="124"/>
      <c r="L62" s="433"/>
      <c r="M62"/>
      <c r="N62"/>
    </row>
    <row r="63" spans="1:16">
      <c r="A63" s="1248"/>
      <c r="B63" s="13"/>
      <c r="C63" s="124"/>
      <c r="D63" s="124"/>
      <c r="E63" s="124"/>
      <c r="F63" s="124"/>
      <c r="G63" s="124"/>
      <c r="H63" s="434"/>
      <c r="I63" s="124"/>
      <c r="J63" s="124"/>
      <c r="L63" s="433"/>
      <c r="M63"/>
      <c r="N63"/>
    </row>
    <row r="64" spans="1:16">
      <c r="A64" s="1248"/>
      <c r="B64" s="13"/>
      <c r="C64" s="124"/>
      <c r="D64" s="124"/>
      <c r="E64" s="124"/>
      <c r="F64" s="124"/>
      <c r="G64" s="124"/>
      <c r="H64" s="434"/>
      <c r="I64" s="124"/>
      <c r="J64" s="124"/>
      <c r="L64" s="433"/>
      <c r="M64"/>
      <c r="N64"/>
    </row>
    <row r="65" spans="1:14">
      <c r="A65" s="1248"/>
      <c r="B65" s="13"/>
      <c r="C65" s="124"/>
      <c r="D65" s="124"/>
      <c r="E65" s="124"/>
      <c r="F65" s="124"/>
      <c r="G65" s="124"/>
      <c r="H65" s="434"/>
      <c r="I65" s="124"/>
      <c r="J65" s="124"/>
      <c r="L65" s="433"/>
      <c r="M65"/>
      <c r="N65"/>
    </row>
    <row r="66" spans="1:14">
      <c r="A66" s="1248"/>
      <c r="B66" s="13"/>
      <c r="C66" s="124"/>
      <c r="D66" s="124"/>
      <c r="E66" s="124"/>
      <c r="F66" s="124"/>
      <c r="G66" s="124"/>
      <c r="H66" s="434"/>
      <c r="I66" s="124"/>
      <c r="J66" s="124"/>
      <c r="L66" s="433"/>
      <c r="M66"/>
      <c r="N66"/>
    </row>
    <row r="67" spans="1:14">
      <c r="A67" s="1248"/>
      <c r="B67" s="13"/>
      <c r="C67" s="124"/>
      <c r="D67" s="124"/>
      <c r="E67" s="124"/>
      <c r="F67" s="124"/>
      <c r="G67" s="124"/>
      <c r="H67" s="434"/>
      <c r="I67" s="124"/>
      <c r="J67" s="124"/>
      <c r="L67" s="433"/>
      <c r="M67"/>
      <c r="N67"/>
    </row>
    <row r="68" spans="1:14">
      <c r="A68" s="1248"/>
      <c r="B68" s="13"/>
      <c r="C68" s="124"/>
      <c r="D68" s="124"/>
      <c r="E68" s="124"/>
      <c r="F68" s="124"/>
      <c r="G68" s="124"/>
      <c r="H68" s="434"/>
      <c r="I68" s="124"/>
      <c r="J68" s="124"/>
      <c r="L68" s="433"/>
      <c r="M68"/>
      <c r="N68"/>
    </row>
    <row r="69" spans="1:14">
      <c r="A69" s="1248"/>
      <c r="B69" s="13"/>
      <c r="C69" s="124"/>
      <c r="D69" s="124"/>
      <c r="E69" s="124"/>
      <c r="F69" s="124"/>
      <c r="G69" s="124"/>
      <c r="H69" s="434"/>
      <c r="I69" s="124"/>
      <c r="J69" s="124"/>
      <c r="L69" s="433"/>
      <c r="M69"/>
      <c r="N69"/>
    </row>
    <row r="70" spans="1:14">
      <c r="A70" s="1248"/>
      <c r="B70" s="13"/>
      <c r="C70" s="124"/>
      <c r="D70" s="124"/>
      <c r="E70" s="124"/>
      <c r="F70" s="124"/>
      <c r="G70" s="124"/>
      <c r="H70" s="434"/>
      <c r="I70" s="124"/>
      <c r="J70" s="124"/>
      <c r="L70" s="433"/>
      <c r="M70"/>
      <c r="N70"/>
    </row>
    <row r="71" spans="1:14">
      <c r="A71" s="1248"/>
      <c r="B71" s="13"/>
      <c r="C71" s="124"/>
      <c r="D71" s="124"/>
      <c r="E71" s="124"/>
      <c r="F71" s="124"/>
      <c r="G71" s="124"/>
      <c r="H71" s="434"/>
      <c r="I71" s="124"/>
      <c r="J71" s="124"/>
      <c r="L71" s="433"/>
      <c r="M71"/>
      <c r="N71"/>
    </row>
    <row r="72" spans="1:14">
      <c r="A72" s="1248"/>
      <c r="B72" s="13"/>
      <c r="C72" s="124"/>
      <c r="D72" s="124"/>
      <c r="E72" s="124"/>
      <c r="F72" s="124"/>
      <c r="G72" s="124"/>
      <c r="H72" s="434"/>
      <c r="I72" s="124"/>
      <c r="J72" s="124"/>
      <c r="L72" s="433"/>
      <c r="M72"/>
      <c r="N72"/>
    </row>
    <row r="73" spans="1:14">
      <c r="A73" s="1248"/>
      <c r="B73" s="13"/>
      <c r="C73" s="124"/>
      <c r="D73" s="124"/>
      <c r="E73" s="124"/>
      <c r="F73" s="124"/>
      <c r="G73" s="124"/>
      <c r="H73" s="434"/>
      <c r="I73" s="124"/>
      <c r="J73" s="124"/>
      <c r="L73" s="433"/>
      <c r="M73"/>
      <c r="N73"/>
    </row>
    <row r="74" spans="1:14">
      <c r="A74" s="1248"/>
      <c r="B74" s="13"/>
      <c r="C74" s="124"/>
      <c r="D74" s="124"/>
      <c r="E74" s="124"/>
      <c r="F74" s="124"/>
      <c r="G74" s="124"/>
      <c r="H74" s="434"/>
      <c r="I74" s="124"/>
      <c r="J74" s="124"/>
      <c r="L74" s="433"/>
      <c r="M74"/>
      <c r="N74"/>
    </row>
    <row r="75" spans="1:14">
      <c r="A75" s="1248"/>
      <c r="B75" s="13"/>
      <c r="C75" s="124"/>
      <c r="D75" s="124"/>
      <c r="E75" s="124"/>
      <c r="F75" s="124"/>
      <c r="G75" s="124"/>
      <c r="H75" s="434"/>
      <c r="I75" s="124"/>
      <c r="J75" s="124"/>
      <c r="L75" s="433"/>
      <c r="M75"/>
      <c r="N75"/>
    </row>
    <row r="76" spans="1:14">
      <c r="A76" s="1248"/>
      <c r="B76" s="13"/>
      <c r="C76" s="124"/>
      <c r="D76" s="124"/>
      <c r="E76" s="124"/>
      <c r="F76" s="124"/>
      <c r="G76" s="124"/>
      <c r="H76" s="434"/>
      <c r="I76" s="124"/>
      <c r="J76" s="124"/>
      <c r="L76" s="433"/>
      <c r="M76"/>
      <c r="N76"/>
    </row>
    <row r="77" spans="1:14">
      <c r="A77" s="1248"/>
      <c r="B77" s="13"/>
      <c r="C77" s="124"/>
      <c r="D77" s="124"/>
      <c r="E77" s="124"/>
      <c r="F77" s="124"/>
      <c r="G77" s="124"/>
      <c r="H77" s="434"/>
      <c r="I77" s="124"/>
      <c r="J77" s="124"/>
      <c r="L77" s="433"/>
      <c r="M77"/>
      <c r="N77"/>
    </row>
    <row r="78" spans="1:14">
      <c r="A78" s="1248"/>
      <c r="B78" s="13"/>
      <c r="C78" s="124"/>
      <c r="D78" s="124"/>
      <c r="E78" s="124"/>
      <c r="F78" s="124"/>
      <c r="G78" s="124"/>
      <c r="H78" s="434"/>
      <c r="I78" s="124"/>
      <c r="J78" s="124"/>
      <c r="L78" s="433"/>
      <c r="M78"/>
      <c r="N78"/>
    </row>
    <row r="79" spans="1:14">
      <c r="A79" s="1248"/>
      <c r="B79" s="13"/>
      <c r="C79" s="124"/>
      <c r="D79" s="124"/>
      <c r="E79" s="124"/>
      <c r="F79" s="124"/>
      <c r="G79" s="124"/>
      <c r="H79" s="434"/>
      <c r="I79" s="124"/>
      <c r="J79" s="124"/>
      <c r="L79" s="433"/>
      <c r="M79"/>
      <c r="N79"/>
    </row>
    <row r="80" spans="1:14">
      <c r="A80" s="1248"/>
      <c r="B80" s="13"/>
      <c r="C80" s="124"/>
      <c r="D80" s="124"/>
      <c r="E80" s="124"/>
      <c r="F80" s="124"/>
      <c r="G80" s="124"/>
      <c r="H80" s="434"/>
      <c r="I80" s="124"/>
      <c r="J80" s="124"/>
      <c r="L80" s="433"/>
      <c r="M80"/>
      <c r="N80"/>
    </row>
    <row r="81" spans="1:14">
      <c r="A81" s="1248"/>
      <c r="B81" s="13"/>
      <c r="C81" s="124"/>
      <c r="D81" s="124"/>
      <c r="E81" s="124"/>
      <c r="F81" s="124"/>
      <c r="G81" s="124"/>
      <c r="H81" s="434"/>
      <c r="I81" s="124"/>
      <c r="J81" s="124"/>
      <c r="L81" s="433"/>
      <c r="M81"/>
      <c r="N81"/>
    </row>
    <row r="82" spans="1:14">
      <c r="A82" s="1248"/>
      <c r="B82" s="13"/>
      <c r="C82" s="124"/>
      <c r="D82" s="124"/>
      <c r="E82" s="124"/>
      <c r="F82" s="124"/>
      <c r="G82" s="124"/>
      <c r="H82" s="434"/>
      <c r="I82" s="124"/>
      <c r="J82" s="124"/>
      <c r="L82" s="433"/>
      <c r="M82"/>
      <c r="N82"/>
    </row>
    <row r="83" spans="1:14">
      <c r="A83" s="1248"/>
      <c r="B83" s="13"/>
      <c r="C83" s="124"/>
      <c r="D83" s="124"/>
      <c r="E83" s="124"/>
      <c r="F83" s="124"/>
      <c r="G83" s="124"/>
      <c r="H83" s="434"/>
      <c r="I83" s="124"/>
      <c r="J83" s="124"/>
      <c r="L83" s="433"/>
      <c r="M83"/>
      <c r="N83"/>
    </row>
    <row r="84" spans="1:14">
      <c r="A84" s="1248"/>
      <c r="B84" s="13"/>
      <c r="C84" s="124"/>
      <c r="D84" s="124"/>
      <c r="E84" s="124"/>
      <c r="F84" s="124"/>
      <c r="G84" s="124"/>
      <c r="H84" s="434"/>
      <c r="I84" s="124"/>
      <c r="J84" s="124"/>
      <c r="L84" s="433"/>
      <c r="M84"/>
      <c r="N84"/>
    </row>
    <row r="85" spans="1:14">
      <c r="A85" s="1248"/>
      <c r="B85" s="13"/>
      <c r="C85" s="124"/>
      <c r="D85" s="124"/>
      <c r="E85" s="124"/>
      <c r="F85" s="124"/>
      <c r="G85" s="124"/>
      <c r="H85" s="434"/>
      <c r="I85" s="124"/>
      <c r="J85" s="124"/>
      <c r="L85" s="433"/>
      <c r="M85"/>
      <c r="N85"/>
    </row>
    <row r="86" spans="1:14">
      <c r="A86" s="1248"/>
      <c r="B86" s="13"/>
      <c r="C86" s="124"/>
      <c r="D86" s="124"/>
      <c r="E86" s="124"/>
      <c r="F86" s="124"/>
      <c r="G86" s="124"/>
      <c r="H86" s="434"/>
      <c r="I86" s="124"/>
      <c r="J86" s="124"/>
      <c r="L86" s="433"/>
      <c r="M86"/>
      <c r="N86"/>
    </row>
    <row r="87" spans="1:14">
      <c r="A87" s="1248"/>
      <c r="B87" s="13"/>
      <c r="C87" s="124"/>
      <c r="D87" s="124"/>
      <c r="E87" s="124"/>
      <c r="F87" s="124"/>
      <c r="G87" s="124"/>
      <c r="H87" s="434"/>
      <c r="I87" s="124"/>
      <c r="J87" s="124"/>
      <c r="L87" s="433"/>
      <c r="M87"/>
      <c r="N87"/>
    </row>
    <row r="88" spans="1:14">
      <c r="A88" s="1248"/>
      <c r="B88" s="13"/>
      <c r="C88" s="124"/>
      <c r="D88" s="124"/>
      <c r="E88" s="124"/>
      <c r="F88" s="124"/>
      <c r="G88" s="124"/>
      <c r="H88" s="434"/>
      <c r="I88" s="124"/>
      <c r="J88" s="124"/>
      <c r="L88" s="433"/>
      <c r="M88"/>
      <c r="N88"/>
    </row>
    <row r="89" spans="1:14">
      <c r="A89" s="1248"/>
      <c r="B89" s="13"/>
      <c r="C89" s="124"/>
      <c r="D89" s="124"/>
      <c r="E89" s="124"/>
      <c r="F89" s="124"/>
      <c r="G89" s="124"/>
      <c r="H89" s="434"/>
      <c r="I89" s="124"/>
      <c r="J89" s="124"/>
      <c r="L89" s="433"/>
      <c r="M89"/>
      <c r="N89"/>
    </row>
    <row r="90" spans="1:14">
      <c r="J90" s="124"/>
      <c r="K90" s="123"/>
      <c r="L90" s="125"/>
      <c r="M90" s="1"/>
      <c r="N90"/>
    </row>
    <row r="91" spans="1:14">
      <c r="J91" s="124"/>
      <c r="K91" s="123"/>
      <c r="L91" s="125"/>
      <c r="M91" s="1"/>
      <c r="N91"/>
    </row>
    <row r="92" spans="1:14">
      <c r="J92" s="124"/>
      <c r="K92" s="123"/>
      <c r="L92" s="125"/>
      <c r="M92" s="1"/>
      <c r="N92"/>
    </row>
    <row r="93" spans="1:14">
      <c r="J93" s="124"/>
      <c r="K93" s="123"/>
      <c r="L93" s="125"/>
      <c r="M93" s="1"/>
      <c r="N93"/>
    </row>
    <row r="94" spans="1:14">
      <c r="J94" s="124"/>
      <c r="K94" s="123"/>
      <c r="L94" s="125"/>
      <c r="M94" s="1"/>
      <c r="N94"/>
    </row>
    <row r="95" spans="1:14">
      <c r="J95" s="124"/>
      <c r="K95" s="123"/>
      <c r="L95" s="125"/>
      <c r="M95" s="1"/>
      <c r="N95"/>
    </row>
    <row r="96" spans="1:14">
      <c r="J96" s="124"/>
      <c r="K96" s="123"/>
      <c r="L96" s="125"/>
      <c r="M96" s="1"/>
      <c r="N96"/>
    </row>
    <row r="97" spans="10:14">
      <c r="J97" s="124"/>
      <c r="K97" s="123"/>
      <c r="L97" s="125"/>
      <c r="M97" s="1"/>
      <c r="N97"/>
    </row>
    <row r="98" spans="10:14">
      <c r="J98" s="124"/>
      <c r="K98" s="123"/>
      <c r="L98" s="125"/>
      <c r="M98" s="1"/>
      <c r="N98"/>
    </row>
    <row r="99" spans="10:14">
      <c r="J99" s="124"/>
      <c r="K99" s="123"/>
      <c r="L99" s="125"/>
      <c r="M99" s="1"/>
      <c r="N99"/>
    </row>
    <row r="100" spans="10:14">
      <c r="J100" s="124"/>
      <c r="K100" s="123"/>
      <c r="L100" s="125"/>
      <c r="M100" s="1"/>
      <c r="N100"/>
    </row>
    <row r="101" spans="10:14">
      <c r="J101" s="124"/>
      <c r="K101" s="123"/>
      <c r="L101" s="125"/>
      <c r="M101" s="1"/>
      <c r="N101"/>
    </row>
    <row r="102" spans="10:14">
      <c r="J102" s="124"/>
      <c r="K102" s="123"/>
      <c r="L102" s="125"/>
      <c r="M102" s="1"/>
      <c r="N102"/>
    </row>
    <row r="103" spans="10:14">
      <c r="J103" s="124"/>
      <c r="K103" s="123"/>
      <c r="L103" s="125"/>
      <c r="M103" s="1"/>
      <c r="N103"/>
    </row>
    <row r="104" spans="10:14">
      <c r="J104" s="124"/>
      <c r="K104" s="123"/>
      <c r="L104" s="125"/>
      <c r="M104" s="1"/>
      <c r="N104"/>
    </row>
    <row r="105" spans="10:14">
      <c r="J105" s="124"/>
      <c r="K105" s="123"/>
      <c r="L105" s="125"/>
      <c r="M105" s="1"/>
      <c r="N105"/>
    </row>
    <row r="106" spans="10:14">
      <c r="J106" s="124"/>
      <c r="K106" s="123"/>
      <c r="L106" s="125"/>
      <c r="M106" s="1"/>
      <c r="N106"/>
    </row>
    <row r="107" spans="10:14">
      <c r="J107" s="124"/>
      <c r="K107" s="123"/>
      <c r="L107" s="125"/>
      <c r="M107" s="1"/>
      <c r="N107"/>
    </row>
    <row r="108" spans="10:14">
      <c r="J108" s="124"/>
      <c r="K108" s="123"/>
      <c r="L108" s="125"/>
      <c r="M108" s="1"/>
      <c r="N108"/>
    </row>
    <row r="109" spans="10:14">
      <c r="J109" s="124"/>
      <c r="K109" s="123"/>
      <c r="L109" s="125"/>
      <c r="M109" s="1"/>
      <c r="N109"/>
    </row>
    <row r="110" spans="10:14">
      <c r="J110" s="124"/>
      <c r="K110" s="123"/>
      <c r="L110" s="125"/>
      <c r="M110" s="1"/>
      <c r="N110"/>
    </row>
    <row r="111" spans="10:14">
      <c r="J111" s="124"/>
      <c r="K111" s="123"/>
      <c r="L111" s="125"/>
      <c r="M111" s="1"/>
      <c r="N111"/>
    </row>
    <row r="112" spans="10:14">
      <c r="J112" s="124"/>
      <c r="K112" s="123"/>
      <c r="L112" s="125"/>
      <c r="M112" s="1"/>
      <c r="N112"/>
    </row>
    <row r="113" spans="10:14">
      <c r="J113" s="124"/>
      <c r="K113" s="123"/>
      <c r="L113" s="125"/>
      <c r="M113" s="1"/>
      <c r="N113"/>
    </row>
    <row r="114" spans="10:14">
      <c r="J114" s="124"/>
      <c r="K114" s="123"/>
      <c r="L114" s="125"/>
      <c r="M114" s="1"/>
      <c r="N114"/>
    </row>
    <row r="115" spans="10:14">
      <c r="J115" s="124"/>
      <c r="K115" s="123"/>
      <c r="L115" s="125"/>
      <c r="M115" s="1"/>
      <c r="N115"/>
    </row>
    <row r="116" spans="10:14">
      <c r="J116" s="124"/>
      <c r="K116" s="123"/>
      <c r="L116" s="125"/>
      <c r="M116" s="1"/>
      <c r="N116"/>
    </row>
    <row r="117" spans="10:14">
      <c r="J117" s="124"/>
      <c r="K117" s="123"/>
      <c r="L117" s="125"/>
      <c r="M117" s="1"/>
      <c r="N117"/>
    </row>
    <row r="118" spans="10:14">
      <c r="J118" s="124"/>
      <c r="K118" s="123"/>
      <c r="L118" s="125"/>
      <c r="M118" s="1"/>
      <c r="N118"/>
    </row>
    <row r="119" spans="10:14">
      <c r="J119" s="124"/>
      <c r="K119" s="123"/>
      <c r="L119" s="125"/>
      <c r="M119" s="1"/>
      <c r="N119"/>
    </row>
    <row r="120" spans="10:14">
      <c r="J120" s="124"/>
      <c r="K120" s="123"/>
      <c r="L120" s="125"/>
      <c r="M120" s="1"/>
      <c r="N120"/>
    </row>
    <row r="121" spans="10:14">
      <c r="J121" s="124"/>
      <c r="K121" s="123"/>
      <c r="L121" s="125"/>
      <c r="M121" s="1"/>
      <c r="N121"/>
    </row>
    <row r="122" spans="10:14">
      <c r="J122" s="124"/>
      <c r="K122" s="123"/>
      <c r="L122" s="125"/>
      <c r="M122" s="1"/>
      <c r="N122"/>
    </row>
    <row r="123" spans="10:14">
      <c r="J123" s="124"/>
      <c r="K123" s="123"/>
      <c r="L123" s="125"/>
      <c r="M123" s="1"/>
      <c r="N123"/>
    </row>
    <row r="124" spans="10:14">
      <c r="J124" s="124"/>
      <c r="K124" s="123"/>
      <c r="L124" s="125"/>
      <c r="M124" s="1"/>
      <c r="N124"/>
    </row>
    <row r="125" spans="10:14">
      <c r="J125" s="124"/>
      <c r="K125" s="123"/>
      <c r="L125" s="125"/>
      <c r="M125" s="1"/>
      <c r="N125"/>
    </row>
    <row r="126" spans="10:14">
      <c r="J126" s="124"/>
      <c r="K126" s="123"/>
      <c r="L126" s="125"/>
      <c r="M126" s="1"/>
      <c r="N126"/>
    </row>
    <row r="127" spans="10:14">
      <c r="J127" s="124"/>
      <c r="K127" s="123"/>
      <c r="L127" s="125"/>
      <c r="M127" s="1"/>
      <c r="N127"/>
    </row>
    <row r="128" spans="10:14">
      <c r="J128" s="124"/>
      <c r="K128" s="123"/>
      <c r="L128" s="125"/>
      <c r="M128" s="1"/>
      <c r="N128"/>
    </row>
    <row r="129" spans="10:14">
      <c r="J129" s="124"/>
      <c r="K129" s="123"/>
      <c r="L129" s="125"/>
      <c r="M129" s="1"/>
      <c r="N129"/>
    </row>
    <row r="130" spans="10:14">
      <c r="J130" s="124"/>
      <c r="K130" s="123"/>
      <c r="L130" s="125"/>
      <c r="M130" s="1"/>
      <c r="N130"/>
    </row>
    <row r="131" spans="10:14">
      <c r="J131" s="124"/>
      <c r="K131" s="123"/>
      <c r="L131" s="125"/>
      <c r="M131" s="1"/>
      <c r="N131"/>
    </row>
    <row r="132" spans="10:14">
      <c r="J132" s="124"/>
      <c r="K132" s="123"/>
      <c r="L132" s="125"/>
      <c r="M132" s="1"/>
      <c r="N132"/>
    </row>
    <row r="133" spans="10:14">
      <c r="J133" s="124"/>
      <c r="K133" s="123"/>
      <c r="L133" s="125"/>
      <c r="M133" s="1"/>
      <c r="N133"/>
    </row>
    <row r="134" spans="10:14">
      <c r="J134" s="124"/>
      <c r="K134" s="123"/>
      <c r="L134" s="125"/>
      <c r="M134" s="1"/>
      <c r="N134"/>
    </row>
    <row r="135" spans="10:14">
      <c r="J135" s="124"/>
      <c r="K135" s="123"/>
      <c r="L135" s="125"/>
      <c r="M135" s="1"/>
      <c r="N135"/>
    </row>
    <row r="136" spans="10:14">
      <c r="J136" s="124"/>
      <c r="K136" s="123"/>
      <c r="L136" s="125"/>
      <c r="M136" s="1"/>
      <c r="N136"/>
    </row>
    <row r="137" spans="10:14">
      <c r="J137" s="124"/>
      <c r="K137" s="123"/>
      <c r="L137" s="125"/>
      <c r="M137" s="1"/>
      <c r="N137"/>
    </row>
    <row r="138" spans="10:14">
      <c r="J138" s="124"/>
      <c r="K138" s="123"/>
      <c r="L138" s="125"/>
      <c r="M138" s="1"/>
      <c r="N138"/>
    </row>
    <row r="139" spans="10:14">
      <c r="J139" s="124"/>
      <c r="K139" s="123"/>
      <c r="L139" s="125"/>
      <c r="M139" s="1"/>
      <c r="N139"/>
    </row>
    <row r="140" spans="10:14">
      <c r="J140" s="124"/>
      <c r="K140" s="123"/>
      <c r="L140" s="125"/>
      <c r="M140" s="1"/>
      <c r="N140"/>
    </row>
    <row r="141" spans="10:14">
      <c r="J141" s="124"/>
      <c r="K141" s="123"/>
      <c r="L141" s="125"/>
      <c r="M141" s="1"/>
      <c r="N141"/>
    </row>
    <row r="142" spans="10:14">
      <c r="J142" s="124"/>
      <c r="K142" s="123"/>
      <c r="L142" s="125"/>
      <c r="M142" s="1"/>
      <c r="N142"/>
    </row>
    <row r="143" spans="10:14">
      <c r="J143" s="124"/>
      <c r="K143" s="123"/>
      <c r="L143" s="125"/>
      <c r="M143" s="1"/>
      <c r="N143"/>
    </row>
    <row r="144" spans="10:14">
      <c r="J144" s="124"/>
      <c r="K144" s="123"/>
      <c r="L144" s="125"/>
      <c r="M144" s="1"/>
      <c r="N144"/>
    </row>
    <row r="145" spans="10:14">
      <c r="J145" s="124"/>
      <c r="K145" s="123"/>
      <c r="L145" s="125"/>
      <c r="M145" s="1"/>
      <c r="N145"/>
    </row>
    <row r="146" spans="10:14">
      <c r="J146" s="124"/>
      <c r="K146" s="123"/>
      <c r="L146" s="125"/>
      <c r="M146" s="1"/>
      <c r="N146"/>
    </row>
    <row r="147" spans="10:14">
      <c r="J147" s="124"/>
      <c r="K147" s="123"/>
      <c r="L147" s="125"/>
      <c r="M147" s="1"/>
      <c r="N147"/>
    </row>
    <row r="148" spans="10:14">
      <c r="J148" s="124"/>
      <c r="K148" s="123"/>
      <c r="L148" s="125"/>
      <c r="M148" s="1"/>
      <c r="N148"/>
    </row>
    <row r="149" spans="10:14">
      <c r="J149" s="124"/>
      <c r="K149" s="123"/>
      <c r="L149" s="125"/>
      <c r="M149" s="1"/>
      <c r="N149"/>
    </row>
    <row r="150" spans="10:14">
      <c r="J150" s="124"/>
      <c r="K150" s="123"/>
      <c r="L150" s="125"/>
      <c r="M150" s="1"/>
      <c r="N150"/>
    </row>
    <row r="151" spans="10:14">
      <c r="J151" s="124"/>
      <c r="K151" s="123"/>
      <c r="L151" s="125"/>
      <c r="M151" s="1"/>
      <c r="N151"/>
    </row>
    <row r="152" spans="10:14">
      <c r="J152" s="124"/>
      <c r="K152" s="123"/>
      <c r="L152" s="125"/>
      <c r="M152" s="1"/>
      <c r="N152"/>
    </row>
    <row r="153" spans="10:14">
      <c r="J153" s="124"/>
      <c r="K153" s="123"/>
      <c r="L153" s="125"/>
      <c r="M153" s="1"/>
      <c r="N153"/>
    </row>
    <row r="154" spans="10:14">
      <c r="J154" s="124"/>
      <c r="K154" s="123"/>
      <c r="L154" s="125"/>
      <c r="M154" s="1"/>
      <c r="N154"/>
    </row>
    <row r="155" spans="10:14">
      <c r="J155" s="124"/>
      <c r="K155" s="123"/>
      <c r="L155" s="125"/>
      <c r="M155" s="1"/>
      <c r="N155"/>
    </row>
    <row r="156" spans="10:14">
      <c r="J156" s="124"/>
      <c r="K156" s="123"/>
      <c r="L156" s="125"/>
      <c r="M156" s="1"/>
      <c r="N156"/>
    </row>
    <row r="157" spans="10:14">
      <c r="J157" s="124"/>
      <c r="K157" s="123"/>
      <c r="L157" s="125"/>
      <c r="M157" s="1"/>
      <c r="N157"/>
    </row>
    <row r="158" spans="10:14">
      <c r="J158" s="124"/>
      <c r="K158" s="123"/>
      <c r="L158" s="125"/>
      <c r="M158" s="1"/>
      <c r="N158"/>
    </row>
    <row r="159" spans="10:14">
      <c r="J159" s="124"/>
      <c r="K159" s="123"/>
      <c r="L159" s="125"/>
      <c r="M159" s="1"/>
      <c r="N159"/>
    </row>
    <row r="160" spans="10:14">
      <c r="J160" s="124"/>
      <c r="K160" s="123"/>
      <c r="L160" s="125"/>
      <c r="M160" s="1"/>
      <c r="N160"/>
    </row>
    <row r="161" spans="10:14">
      <c r="J161" s="124"/>
      <c r="K161" s="123"/>
      <c r="L161" s="125"/>
      <c r="M161" s="1"/>
      <c r="N161"/>
    </row>
    <row r="162" spans="10:14">
      <c r="J162" s="124"/>
      <c r="K162" s="123"/>
      <c r="L162" s="125"/>
      <c r="M162" s="1"/>
      <c r="N162"/>
    </row>
    <row r="163" spans="10:14">
      <c r="J163" s="124"/>
      <c r="K163" s="123"/>
      <c r="L163" s="125"/>
      <c r="M163" s="1"/>
      <c r="N163"/>
    </row>
    <row r="164" spans="10:14">
      <c r="J164" s="124"/>
      <c r="K164" s="123"/>
      <c r="L164" s="125"/>
      <c r="M164" s="1"/>
      <c r="N164"/>
    </row>
    <row r="165" spans="10:14">
      <c r="J165" s="124"/>
      <c r="K165" s="123"/>
      <c r="L165" s="125"/>
      <c r="M165" s="1"/>
      <c r="N165"/>
    </row>
    <row r="166" spans="10:14">
      <c r="J166" s="124"/>
      <c r="K166" s="123"/>
      <c r="L166" s="125"/>
      <c r="M166" s="1"/>
      <c r="N166"/>
    </row>
    <row r="167" spans="10:14">
      <c r="J167" s="124"/>
      <c r="K167" s="123"/>
      <c r="L167" s="125"/>
      <c r="M167" s="1"/>
      <c r="N167"/>
    </row>
    <row r="168" spans="10:14">
      <c r="J168" s="124"/>
      <c r="K168" s="123"/>
      <c r="L168" s="125"/>
      <c r="M168" s="1"/>
      <c r="N168"/>
    </row>
    <row r="169" spans="10:14">
      <c r="J169" s="124"/>
      <c r="K169" s="123"/>
      <c r="L169" s="125"/>
      <c r="M169" s="1"/>
      <c r="N169"/>
    </row>
    <row r="170" spans="10:14">
      <c r="J170" s="124"/>
      <c r="K170" s="123"/>
      <c r="L170" s="125"/>
      <c r="M170" s="1"/>
      <c r="N170"/>
    </row>
    <row r="171" spans="10:14">
      <c r="J171" s="124"/>
      <c r="K171" s="123"/>
      <c r="L171" s="125"/>
      <c r="M171" s="1"/>
      <c r="N171"/>
    </row>
    <row r="172" spans="10:14">
      <c r="J172" s="124"/>
      <c r="K172" s="123"/>
      <c r="L172" s="125"/>
      <c r="M172" s="1"/>
      <c r="N172"/>
    </row>
    <row r="173" spans="10:14">
      <c r="J173" s="124"/>
      <c r="K173" s="123"/>
      <c r="L173" s="125"/>
      <c r="M173" s="1"/>
      <c r="N173"/>
    </row>
    <row r="174" spans="10:14">
      <c r="J174" s="124"/>
      <c r="K174" s="123"/>
      <c r="L174" s="125"/>
      <c r="M174" s="1"/>
      <c r="N174"/>
    </row>
    <row r="175" spans="10:14">
      <c r="J175" s="124"/>
      <c r="K175" s="123"/>
      <c r="L175" s="125"/>
      <c r="M175" s="1"/>
      <c r="N175"/>
    </row>
    <row r="176" spans="10:14">
      <c r="J176" s="124"/>
      <c r="K176" s="123"/>
      <c r="L176" s="125"/>
      <c r="M176" s="1"/>
      <c r="N176"/>
    </row>
    <row r="177" spans="10:14">
      <c r="J177" s="124"/>
      <c r="K177" s="123"/>
      <c r="L177" s="125"/>
      <c r="M177" s="1"/>
      <c r="N177"/>
    </row>
    <row r="178" spans="10:14">
      <c r="J178" s="124"/>
      <c r="K178" s="123"/>
      <c r="L178" s="125"/>
      <c r="M178" s="1"/>
      <c r="N178"/>
    </row>
    <row r="179" spans="10:14">
      <c r="J179" s="124"/>
      <c r="K179" s="123"/>
      <c r="L179" s="125"/>
      <c r="M179" s="1"/>
      <c r="N179"/>
    </row>
    <row r="180" spans="10:14">
      <c r="J180" s="124"/>
      <c r="K180" s="123"/>
      <c r="L180" s="125"/>
      <c r="M180" s="1"/>
      <c r="N180"/>
    </row>
    <row r="181" spans="10:14">
      <c r="J181" s="124"/>
      <c r="K181" s="123"/>
      <c r="L181" s="125"/>
      <c r="M181" s="1"/>
      <c r="N181"/>
    </row>
    <row r="182" spans="10:14">
      <c r="J182" s="124"/>
      <c r="K182" s="123"/>
      <c r="L182" s="125"/>
      <c r="M182" s="1"/>
      <c r="N182"/>
    </row>
    <row r="183" spans="10:14">
      <c r="J183" s="124"/>
      <c r="K183" s="123"/>
      <c r="L183" s="125"/>
      <c r="M183" s="1"/>
      <c r="N183"/>
    </row>
    <row r="184" spans="10:14">
      <c r="J184" s="124"/>
      <c r="K184" s="123"/>
      <c r="L184" s="125"/>
      <c r="M184" s="1"/>
      <c r="N184"/>
    </row>
    <row r="185" spans="10:14">
      <c r="J185" s="124"/>
      <c r="K185" s="123"/>
      <c r="L185" s="125"/>
      <c r="M185" s="1"/>
      <c r="N185"/>
    </row>
    <row r="186" spans="10:14">
      <c r="J186" s="124"/>
      <c r="K186" s="123"/>
      <c r="L186" s="125"/>
      <c r="M186" s="1"/>
      <c r="N186"/>
    </row>
    <row r="187" spans="10:14">
      <c r="J187" s="124"/>
      <c r="K187" s="123"/>
      <c r="L187" s="125"/>
      <c r="M187" s="1"/>
      <c r="N187"/>
    </row>
    <row r="188" spans="10:14">
      <c r="J188" s="124"/>
      <c r="K188" s="123"/>
      <c r="L188" s="125"/>
      <c r="M188" s="1"/>
      <c r="N188"/>
    </row>
    <row r="189" spans="10:14">
      <c r="J189" s="124"/>
      <c r="K189" s="123"/>
      <c r="L189" s="125"/>
      <c r="M189" s="1"/>
      <c r="N189"/>
    </row>
    <row r="190" spans="10:14">
      <c r="J190" s="124"/>
      <c r="K190" s="123"/>
      <c r="L190" s="125"/>
      <c r="M190" s="1"/>
      <c r="N190"/>
    </row>
    <row r="191" spans="10:14">
      <c r="J191" s="124"/>
      <c r="K191" s="123"/>
      <c r="L191" s="125"/>
      <c r="M191" s="1"/>
      <c r="N191"/>
    </row>
    <row r="192" spans="10:14">
      <c r="J192" s="124"/>
      <c r="K192" s="123"/>
      <c r="L192" s="125"/>
      <c r="M192" s="1"/>
      <c r="N192"/>
    </row>
    <row r="193" spans="10:14">
      <c r="J193" s="124"/>
      <c r="K193" s="123"/>
      <c r="L193" s="125"/>
      <c r="M193" s="1"/>
      <c r="N193"/>
    </row>
    <row r="194" spans="10:14">
      <c r="J194" s="124"/>
      <c r="K194" s="123"/>
      <c r="L194" s="125"/>
      <c r="M194" s="1"/>
      <c r="N194"/>
    </row>
    <row r="195" spans="10:14">
      <c r="J195" s="124"/>
      <c r="K195" s="123"/>
      <c r="L195" s="125"/>
      <c r="M195" s="1"/>
      <c r="N195"/>
    </row>
    <row r="196" spans="10:14">
      <c r="J196" s="124"/>
      <c r="K196" s="123"/>
      <c r="L196" s="125"/>
      <c r="M196" s="1"/>
      <c r="N196"/>
    </row>
    <row r="197" spans="10:14">
      <c r="J197" s="124"/>
      <c r="K197" s="123"/>
      <c r="L197" s="125"/>
      <c r="M197" s="1"/>
      <c r="N197"/>
    </row>
    <row r="198" spans="10:14">
      <c r="J198" s="124"/>
      <c r="K198" s="123"/>
      <c r="L198" s="125"/>
      <c r="M198" s="1"/>
      <c r="N198"/>
    </row>
    <row r="199" spans="10:14">
      <c r="J199" s="124"/>
      <c r="K199" s="123"/>
      <c r="L199" s="125"/>
      <c r="M199" s="1"/>
      <c r="N199"/>
    </row>
    <row r="200" spans="10:14">
      <c r="J200" s="124"/>
      <c r="K200" s="123"/>
      <c r="L200" s="125"/>
      <c r="M200" s="1"/>
      <c r="N200"/>
    </row>
    <row r="201" spans="10:14">
      <c r="J201" s="124"/>
      <c r="K201" s="123"/>
      <c r="L201" s="125"/>
      <c r="M201" s="1"/>
      <c r="N201"/>
    </row>
    <row r="202" spans="10:14">
      <c r="J202" s="124"/>
      <c r="K202" s="123"/>
      <c r="L202" s="125"/>
      <c r="M202" s="1"/>
      <c r="N202"/>
    </row>
    <row r="203" spans="10:14">
      <c r="J203" s="124"/>
      <c r="K203" s="123"/>
      <c r="L203" s="125"/>
      <c r="M203" s="1"/>
      <c r="N203"/>
    </row>
    <row r="204" spans="10:14">
      <c r="J204" s="124"/>
      <c r="K204" s="123"/>
      <c r="L204" s="125"/>
      <c r="M204" s="1"/>
      <c r="N204"/>
    </row>
    <row r="205" spans="10:14">
      <c r="J205" s="124"/>
      <c r="K205" s="123"/>
      <c r="L205" s="125"/>
      <c r="M205" s="1"/>
      <c r="N205"/>
    </row>
    <row r="206" spans="10:14">
      <c r="J206" s="124"/>
      <c r="K206" s="123"/>
      <c r="L206" s="125"/>
      <c r="M206" s="1"/>
      <c r="N206"/>
    </row>
    <row r="207" spans="10:14">
      <c r="J207" s="124"/>
      <c r="K207" s="123"/>
      <c r="L207" s="125"/>
      <c r="M207" s="1"/>
      <c r="N207"/>
    </row>
    <row r="208" spans="10:14">
      <c r="J208" s="124"/>
      <c r="K208" s="123"/>
      <c r="L208" s="125"/>
      <c r="M208" s="1"/>
      <c r="N208"/>
    </row>
    <row r="209" spans="10:14">
      <c r="J209" s="124"/>
      <c r="K209" s="123"/>
      <c r="L209" s="125"/>
      <c r="M209" s="1"/>
      <c r="N209"/>
    </row>
    <row r="210" spans="10:14">
      <c r="J210" s="124"/>
      <c r="K210" s="123"/>
      <c r="L210" s="125"/>
      <c r="M210" s="1"/>
      <c r="N210"/>
    </row>
    <row r="211" spans="10:14">
      <c r="J211" s="124"/>
      <c r="K211" s="123"/>
      <c r="L211" s="125"/>
      <c r="M211" s="1"/>
      <c r="N211"/>
    </row>
    <row r="212" spans="10:14">
      <c r="J212" s="124"/>
      <c r="K212" s="123"/>
      <c r="L212" s="125"/>
      <c r="M212" s="1"/>
      <c r="N212"/>
    </row>
    <row r="213" spans="10:14">
      <c r="J213" s="124"/>
      <c r="K213" s="123"/>
      <c r="L213" s="125"/>
      <c r="M213" s="1"/>
      <c r="N213"/>
    </row>
    <row r="214" spans="10:14">
      <c r="J214" s="124"/>
      <c r="K214" s="123"/>
      <c r="L214" s="125"/>
      <c r="M214" s="1"/>
      <c r="N214"/>
    </row>
    <row r="215" spans="10:14">
      <c r="J215" s="124"/>
      <c r="K215" s="123"/>
      <c r="L215" s="125"/>
      <c r="M215" s="1"/>
      <c r="N215"/>
    </row>
    <row r="216" spans="10:14">
      <c r="J216" s="124"/>
      <c r="K216" s="123"/>
      <c r="L216" s="125"/>
      <c r="M216" s="1"/>
      <c r="N216"/>
    </row>
    <row r="217" spans="10:14">
      <c r="J217" s="124"/>
      <c r="K217" s="123"/>
      <c r="L217" s="125"/>
      <c r="M217" s="1"/>
      <c r="N217"/>
    </row>
    <row r="218" spans="10:14">
      <c r="J218" s="124"/>
      <c r="K218" s="123"/>
      <c r="L218" s="125"/>
      <c r="M218" s="1"/>
      <c r="N218"/>
    </row>
    <row r="219" spans="10:14">
      <c r="J219" s="124"/>
      <c r="K219" s="123"/>
      <c r="L219" s="125"/>
      <c r="M219" s="1"/>
      <c r="N219"/>
    </row>
    <row r="220" spans="10:14">
      <c r="J220" s="124"/>
      <c r="K220" s="123"/>
      <c r="L220" s="125"/>
      <c r="M220" s="1"/>
      <c r="N220"/>
    </row>
    <row r="221" spans="10:14">
      <c r="J221" s="124"/>
      <c r="K221" s="123"/>
      <c r="L221" s="125"/>
      <c r="M221" s="1"/>
      <c r="N221"/>
    </row>
    <row r="222" spans="10:14">
      <c r="J222" s="124"/>
      <c r="K222" s="123"/>
      <c r="L222" s="125"/>
      <c r="M222" s="1"/>
      <c r="N222"/>
    </row>
    <row r="223" spans="10:14">
      <c r="J223" s="124"/>
      <c r="K223" s="123"/>
      <c r="L223" s="125"/>
      <c r="M223" s="1"/>
      <c r="N223"/>
    </row>
    <row r="224" spans="10:14">
      <c r="J224" s="124"/>
      <c r="K224" s="123"/>
      <c r="L224" s="125"/>
      <c r="M224" s="1"/>
      <c r="N224"/>
    </row>
    <row r="225" spans="10:14">
      <c r="J225" s="124"/>
      <c r="K225" s="123"/>
      <c r="L225" s="125"/>
      <c r="M225" s="1"/>
      <c r="N225"/>
    </row>
    <row r="226" spans="10:14">
      <c r="J226" s="124"/>
      <c r="K226" s="123"/>
      <c r="L226" s="125"/>
      <c r="M226" s="1"/>
      <c r="N226"/>
    </row>
    <row r="227" spans="10:14">
      <c r="J227" s="124"/>
      <c r="K227" s="123"/>
      <c r="L227" s="125"/>
      <c r="M227" s="1"/>
      <c r="N227"/>
    </row>
    <row r="228" spans="10:14">
      <c r="J228" s="124"/>
      <c r="K228" s="123"/>
      <c r="L228" s="125"/>
      <c r="M228" s="1"/>
      <c r="N228"/>
    </row>
    <row r="229" spans="10:14">
      <c r="J229" s="124"/>
      <c r="K229" s="123"/>
      <c r="L229" s="125"/>
      <c r="M229" s="1"/>
      <c r="N229"/>
    </row>
    <row r="230" spans="10:14">
      <c r="J230" s="124"/>
      <c r="K230" s="123"/>
      <c r="L230" s="125"/>
      <c r="M230" s="1"/>
      <c r="N230"/>
    </row>
    <row r="231" spans="10:14">
      <c r="J231" s="124"/>
      <c r="K231" s="123"/>
      <c r="L231" s="125"/>
      <c r="M231" s="1"/>
      <c r="N231"/>
    </row>
    <row r="232" spans="10:14">
      <c r="J232" s="124"/>
      <c r="K232" s="123"/>
      <c r="L232" s="125"/>
      <c r="M232" s="1"/>
      <c r="N232"/>
    </row>
    <row r="233" spans="10:14">
      <c r="J233" s="124"/>
      <c r="K233" s="123"/>
      <c r="L233" s="125"/>
      <c r="M233" s="1"/>
      <c r="N233"/>
    </row>
    <row r="234" spans="10:14">
      <c r="J234" s="124"/>
      <c r="K234" s="123"/>
      <c r="L234" s="125"/>
      <c r="M234" s="1"/>
      <c r="N234"/>
    </row>
    <row r="235" spans="10:14">
      <c r="J235" s="124"/>
      <c r="K235" s="123"/>
      <c r="L235" s="125"/>
      <c r="M235" s="1"/>
      <c r="N235"/>
    </row>
    <row r="236" spans="10:14">
      <c r="J236" s="124"/>
      <c r="K236" s="123"/>
      <c r="L236" s="125"/>
      <c r="M236" s="1"/>
      <c r="N236"/>
    </row>
    <row r="237" spans="10:14">
      <c r="J237" s="124"/>
      <c r="K237" s="123"/>
      <c r="L237" s="125"/>
      <c r="M237" s="1"/>
      <c r="N237"/>
    </row>
    <row r="238" spans="10:14">
      <c r="J238" s="124"/>
      <c r="K238" s="123"/>
      <c r="L238" s="125"/>
      <c r="M238" s="1"/>
      <c r="N238"/>
    </row>
    <row r="239" spans="10:14">
      <c r="J239" s="124"/>
      <c r="K239" s="123"/>
      <c r="L239" s="125"/>
      <c r="M239" s="1"/>
      <c r="N239"/>
    </row>
    <row r="240" spans="10:14">
      <c r="J240" s="124"/>
      <c r="K240" s="123"/>
      <c r="L240" s="125"/>
      <c r="M240" s="1"/>
      <c r="N240"/>
    </row>
    <row r="241" spans="10:14">
      <c r="J241" s="124"/>
      <c r="K241" s="123"/>
      <c r="L241" s="125"/>
      <c r="M241" s="1"/>
      <c r="N241"/>
    </row>
    <row r="242" spans="10:14">
      <c r="J242" s="124"/>
      <c r="K242" s="123"/>
      <c r="L242" s="125"/>
      <c r="M242" s="1"/>
      <c r="N242"/>
    </row>
    <row r="243" spans="10:14">
      <c r="J243" s="124"/>
      <c r="K243" s="123"/>
      <c r="L243" s="125"/>
      <c r="M243" s="1"/>
      <c r="N243"/>
    </row>
    <row r="244" spans="10:14">
      <c r="J244" s="124"/>
      <c r="K244" s="123"/>
      <c r="L244" s="125"/>
      <c r="M244" s="1"/>
      <c r="N244"/>
    </row>
    <row r="245" spans="10:14">
      <c r="J245" s="124"/>
      <c r="K245" s="123"/>
      <c r="L245" s="125"/>
      <c r="M245" s="1"/>
      <c r="N245"/>
    </row>
    <row r="246" spans="10:14">
      <c r="J246" s="124"/>
      <c r="K246" s="123"/>
      <c r="L246" s="125"/>
      <c r="M246" s="1"/>
      <c r="N246"/>
    </row>
    <row r="247" spans="10:14">
      <c r="J247" s="124"/>
      <c r="K247" s="123"/>
      <c r="L247" s="125"/>
      <c r="M247" s="1"/>
      <c r="N247"/>
    </row>
    <row r="248" spans="10:14">
      <c r="J248" s="124"/>
      <c r="K248" s="123"/>
      <c r="L248" s="125"/>
      <c r="M248" s="1"/>
      <c r="N248"/>
    </row>
    <row r="249" spans="10:14">
      <c r="J249" s="124"/>
      <c r="K249" s="123"/>
      <c r="L249" s="125"/>
      <c r="M249" s="1"/>
      <c r="N249"/>
    </row>
    <row r="250" spans="10:14">
      <c r="J250" s="124"/>
      <c r="K250" s="123"/>
      <c r="L250" s="125"/>
      <c r="M250" s="1"/>
      <c r="N250"/>
    </row>
    <row r="251" spans="10:14">
      <c r="J251" s="124"/>
      <c r="K251" s="123"/>
      <c r="L251" s="125"/>
      <c r="M251" s="1"/>
      <c r="N251"/>
    </row>
    <row r="252" spans="10:14">
      <c r="J252" s="124"/>
      <c r="K252" s="123"/>
      <c r="L252" s="125"/>
      <c r="M252" s="1"/>
      <c r="N252"/>
    </row>
    <row r="253" spans="10:14">
      <c r="J253" s="124"/>
      <c r="K253" s="123"/>
      <c r="L253" s="125"/>
      <c r="M253" s="1"/>
      <c r="N253"/>
    </row>
    <row r="254" spans="10:14">
      <c r="J254" s="124"/>
      <c r="K254" s="123"/>
      <c r="L254" s="125"/>
      <c r="M254" s="1"/>
      <c r="N254"/>
    </row>
    <row r="255" spans="10:14">
      <c r="J255" s="124"/>
      <c r="K255" s="123"/>
      <c r="L255" s="125"/>
      <c r="M255" s="1"/>
      <c r="N255"/>
    </row>
    <row r="256" spans="10:14">
      <c r="J256" s="124"/>
      <c r="K256" s="123"/>
      <c r="L256" s="125"/>
      <c r="M256" s="1"/>
      <c r="N256"/>
    </row>
    <row r="257" spans="10:14">
      <c r="J257" s="124"/>
      <c r="K257" s="123"/>
      <c r="L257" s="125"/>
      <c r="M257" s="1"/>
      <c r="N257"/>
    </row>
    <row r="258" spans="10:14">
      <c r="J258" s="124"/>
      <c r="K258" s="123"/>
      <c r="L258" s="125"/>
      <c r="M258" s="1"/>
      <c r="N258"/>
    </row>
    <row r="259" spans="10:14">
      <c r="J259" s="124"/>
      <c r="K259" s="123"/>
      <c r="L259" s="125"/>
      <c r="M259" s="1"/>
      <c r="N259"/>
    </row>
    <row r="260" spans="10:14">
      <c r="J260" s="124"/>
      <c r="K260" s="123"/>
      <c r="L260" s="125"/>
      <c r="M260" s="1"/>
      <c r="N260"/>
    </row>
    <row r="261" spans="10:14">
      <c r="J261" s="124"/>
      <c r="K261" s="123"/>
      <c r="L261" s="125"/>
      <c r="M261" s="1"/>
      <c r="N261"/>
    </row>
    <row r="262" spans="10:14">
      <c r="J262" s="124"/>
      <c r="K262" s="123"/>
      <c r="L262" s="125"/>
      <c r="M262" s="1"/>
      <c r="N262"/>
    </row>
    <row r="263" spans="10:14">
      <c r="J263" s="124"/>
      <c r="K263" s="123"/>
      <c r="L263" s="125"/>
      <c r="M263" s="1"/>
      <c r="N263"/>
    </row>
    <row r="264" spans="10:14">
      <c r="J264" s="124"/>
      <c r="K264" s="123"/>
      <c r="L264" s="125"/>
      <c r="M264" s="1"/>
      <c r="N264"/>
    </row>
    <row r="265" spans="10:14">
      <c r="J265" s="124"/>
      <c r="K265" s="123"/>
      <c r="L265" s="125"/>
      <c r="M265" s="1"/>
      <c r="N265"/>
    </row>
    <row r="266" spans="10:14">
      <c r="J266" s="124"/>
      <c r="K266" s="123"/>
      <c r="L266" s="125"/>
      <c r="M266" s="1"/>
      <c r="N266"/>
    </row>
    <row r="267" spans="10:14">
      <c r="J267" s="124"/>
      <c r="K267" s="123"/>
      <c r="L267" s="125"/>
      <c r="M267" s="1"/>
      <c r="N267"/>
    </row>
    <row r="268" spans="10:14">
      <c r="J268" s="124"/>
      <c r="K268" s="123"/>
      <c r="L268" s="125"/>
      <c r="M268" s="1"/>
      <c r="N268"/>
    </row>
    <row r="269" spans="10:14">
      <c r="J269" s="124"/>
      <c r="K269" s="123"/>
      <c r="L269" s="125"/>
      <c r="M269" s="1"/>
      <c r="N269"/>
    </row>
    <row r="270" spans="10:14">
      <c r="J270" s="124"/>
      <c r="K270" s="123"/>
      <c r="L270" s="125"/>
      <c r="M270" s="1"/>
      <c r="N270"/>
    </row>
    <row r="271" spans="10:14">
      <c r="J271" s="124"/>
      <c r="K271" s="123"/>
      <c r="L271" s="125"/>
      <c r="M271" s="1"/>
      <c r="N271"/>
    </row>
    <row r="272" spans="10:14">
      <c r="J272" s="124"/>
      <c r="K272" s="123"/>
      <c r="L272" s="125"/>
      <c r="M272" s="1"/>
      <c r="N272"/>
    </row>
    <row r="273" spans="10:14">
      <c r="J273" s="124"/>
      <c r="K273" s="123"/>
      <c r="L273" s="125"/>
      <c r="M273" s="1"/>
      <c r="N273"/>
    </row>
    <row r="274" spans="10:14">
      <c r="J274" s="124"/>
      <c r="K274" s="123"/>
      <c r="L274" s="125"/>
      <c r="M274" s="1"/>
      <c r="N274"/>
    </row>
    <row r="275" spans="10:14">
      <c r="J275" s="124"/>
      <c r="K275" s="123"/>
      <c r="L275" s="125"/>
      <c r="M275" s="1"/>
      <c r="N275"/>
    </row>
    <row r="276" spans="10:14">
      <c r="J276" s="124"/>
      <c r="K276" s="123"/>
      <c r="L276" s="125"/>
      <c r="M276" s="1"/>
      <c r="N276"/>
    </row>
    <row r="277" spans="10:14">
      <c r="J277" s="124"/>
      <c r="K277" s="123"/>
      <c r="L277" s="125"/>
      <c r="M277" s="1"/>
      <c r="N277"/>
    </row>
    <row r="278" spans="10:14">
      <c r="J278" s="124"/>
      <c r="K278" s="123"/>
      <c r="L278" s="125"/>
      <c r="M278" s="1"/>
      <c r="N278"/>
    </row>
    <row r="279" spans="10:14">
      <c r="J279" s="124"/>
      <c r="K279" s="123"/>
      <c r="L279" s="125"/>
      <c r="M279" s="1"/>
      <c r="N279"/>
    </row>
    <row r="280" spans="10:14">
      <c r="J280" s="124"/>
      <c r="K280" s="123"/>
      <c r="L280" s="125"/>
      <c r="M280" s="1"/>
      <c r="N280"/>
    </row>
    <row r="281" spans="10:14">
      <c r="J281" s="124"/>
      <c r="K281" s="123"/>
      <c r="L281" s="125"/>
      <c r="M281" s="1"/>
      <c r="N281"/>
    </row>
    <row r="282" spans="10:14">
      <c r="J282" s="124"/>
      <c r="K282" s="123"/>
      <c r="L282" s="125"/>
      <c r="M282" s="1"/>
      <c r="N282"/>
    </row>
    <row r="283" spans="10:14">
      <c r="J283" s="124"/>
      <c r="K283" s="123"/>
      <c r="L283" s="125"/>
      <c r="M283" s="1"/>
      <c r="N283"/>
    </row>
    <row r="284" spans="10:14">
      <c r="J284" s="124"/>
      <c r="K284" s="123"/>
      <c r="L284" s="125"/>
      <c r="M284" s="1"/>
      <c r="N284"/>
    </row>
    <row r="285" spans="10:14">
      <c r="J285" s="124"/>
      <c r="K285" s="123"/>
      <c r="L285" s="125"/>
      <c r="M285" s="1"/>
      <c r="N285"/>
    </row>
    <row r="286" spans="10:14">
      <c r="J286" s="124"/>
      <c r="K286" s="123"/>
      <c r="L286" s="125"/>
      <c r="M286" s="1"/>
      <c r="N286"/>
    </row>
    <row r="287" spans="10:14">
      <c r="J287" s="124"/>
      <c r="K287" s="123"/>
      <c r="L287" s="125"/>
      <c r="M287" s="1"/>
      <c r="N287"/>
    </row>
    <row r="288" spans="10:14">
      <c r="J288" s="124"/>
      <c r="K288" s="123"/>
      <c r="L288" s="125"/>
      <c r="M288" s="1"/>
      <c r="N288"/>
    </row>
    <row r="289" spans="10:14">
      <c r="J289" s="124"/>
      <c r="K289" s="123"/>
      <c r="L289" s="125"/>
      <c r="M289" s="1"/>
      <c r="N289"/>
    </row>
    <row r="290" spans="10:14">
      <c r="J290" s="124"/>
      <c r="K290" s="123"/>
      <c r="L290" s="125"/>
      <c r="M290" s="1"/>
      <c r="N290"/>
    </row>
    <row r="291" spans="10:14">
      <c r="J291" s="124"/>
      <c r="K291" s="123"/>
      <c r="L291" s="125"/>
      <c r="M291" s="1"/>
      <c r="N291"/>
    </row>
    <row r="292" spans="10:14">
      <c r="J292" s="124"/>
      <c r="K292" s="123"/>
      <c r="L292" s="125"/>
      <c r="M292" s="1"/>
      <c r="N292"/>
    </row>
    <row r="293" spans="10:14">
      <c r="J293" s="124"/>
      <c r="K293" s="123"/>
      <c r="L293" s="125"/>
      <c r="M293" s="1"/>
      <c r="N293"/>
    </row>
    <row r="294" spans="10:14">
      <c r="J294" s="124"/>
      <c r="K294" s="123"/>
      <c r="L294" s="125"/>
      <c r="M294" s="1"/>
      <c r="N294"/>
    </row>
    <row r="295" spans="10:14">
      <c r="J295" s="124"/>
      <c r="K295" s="123"/>
      <c r="L295" s="125"/>
      <c r="M295" s="1"/>
      <c r="N295"/>
    </row>
    <row r="296" spans="10:14">
      <c r="J296" s="124"/>
      <c r="K296" s="123"/>
      <c r="L296" s="125"/>
      <c r="M296" s="1"/>
      <c r="N296"/>
    </row>
    <row r="297" spans="10:14">
      <c r="J297" s="124"/>
      <c r="K297" s="123"/>
      <c r="L297" s="125"/>
      <c r="M297" s="1"/>
      <c r="N297"/>
    </row>
    <row r="298" spans="10:14">
      <c r="J298" s="124"/>
      <c r="K298" s="123"/>
      <c r="L298" s="125"/>
      <c r="M298" s="1"/>
      <c r="N298"/>
    </row>
    <row r="299" spans="10:14">
      <c r="J299" s="124"/>
      <c r="K299" s="123"/>
      <c r="L299" s="125"/>
      <c r="M299" s="1"/>
      <c r="N299"/>
    </row>
    <row r="300" spans="10:14">
      <c r="J300" s="124"/>
      <c r="K300" s="123"/>
      <c r="L300" s="125"/>
      <c r="M300" s="1"/>
      <c r="N300"/>
    </row>
    <row r="301" spans="10:14">
      <c r="J301" s="124"/>
      <c r="K301" s="123"/>
      <c r="L301" s="125"/>
      <c r="M301" s="1"/>
      <c r="N301"/>
    </row>
    <row r="302" spans="10:14">
      <c r="J302" s="124"/>
      <c r="K302" s="123"/>
      <c r="L302" s="125"/>
      <c r="M302" s="1"/>
      <c r="N302"/>
    </row>
    <row r="303" spans="10:14">
      <c r="J303" s="124"/>
      <c r="K303" s="123"/>
      <c r="L303" s="125"/>
      <c r="M303" s="1"/>
      <c r="N303"/>
    </row>
    <row r="304" spans="10:14">
      <c r="J304" s="124"/>
      <c r="K304" s="123"/>
      <c r="L304" s="125"/>
      <c r="M304" s="1"/>
      <c r="N304"/>
    </row>
    <row r="305" spans="10:14">
      <c r="J305" s="124"/>
      <c r="K305" s="123"/>
      <c r="L305" s="125"/>
      <c r="M305" s="1"/>
      <c r="N305"/>
    </row>
    <row r="306" spans="10:14">
      <c r="J306" s="124"/>
      <c r="K306" s="123"/>
      <c r="L306" s="125"/>
      <c r="M306" s="1"/>
      <c r="N306"/>
    </row>
    <row r="307" spans="10:14">
      <c r="J307" s="124"/>
      <c r="K307" s="123"/>
      <c r="L307" s="125"/>
      <c r="M307" s="1"/>
      <c r="N307"/>
    </row>
    <row r="308" spans="10:14">
      <c r="J308" s="124"/>
      <c r="K308" s="123"/>
      <c r="L308" s="125"/>
      <c r="M308" s="1"/>
      <c r="N308"/>
    </row>
    <row r="309" spans="10:14">
      <c r="J309" s="124"/>
      <c r="K309" s="123"/>
      <c r="L309" s="125"/>
      <c r="M309" s="1"/>
      <c r="N309"/>
    </row>
    <row r="310" spans="10:14">
      <c r="J310" s="124"/>
      <c r="K310" s="123"/>
      <c r="L310" s="125"/>
      <c r="M310" s="1"/>
      <c r="N310"/>
    </row>
    <row r="311" spans="10:14">
      <c r="J311" s="124"/>
      <c r="K311" s="123"/>
      <c r="L311" s="125"/>
      <c r="M311" s="1"/>
      <c r="N311"/>
    </row>
    <row r="312" spans="10:14">
      <c r="J312" s="124"/>
      <c r="K312" s="123"/>
      <c r="L312" s="125"/>
      <c r="M312" s="1"/>
      <c r="N312"/>
    </row>
    <row r="313" spans="10:14">
      <c r="J313" s="124"/>
      <c r="K313" s="123"/>
      <c r="L313" s="125"/>
      <c r="M313" s="1"/>
      <c r="N313"/>
    </row>
    <row r="314" spans="10:14">
      <c r="J314" s="124"/>
      <c r="K314" s="123"/>
      <c r="L314" s="125"/>
      <c r="M314" s="1"/>
      <c r="N314"/>
    </row>
    <row r="315" spans="10:14">
      <c r="J315" s="124"/>
      <c r="K315" s="123"/>
      <c r="L315" s="125"/>
      <c r="M315" s="1"/>
      <c r="N315"/>
    </row>
    <row r="316" spans="10:14">
      <c r="J316" s="124"/>
      <c r="K316" s="123"/>
      <c r="L316" s="125"/>
      <c r="M316" s="1"/>
      <c r="N316"/>
    </row>
    <row r="317" spans="10:14">
      <c r="J317" s="124"/>
      <c r="K317" s="123"/>
      <c r="L317" s="125"/>
      <c r="M317" s="1"/>
      <c r="N317"/>
    </row>
    <row r="318" spans="10:14">
      <c r="J318" s="124"/>
      <c r="K318" s="123"/>
      <c r="L318" s="125"/>
      <c r="M318" s="1"/>
      <c r="N318"/>
    </row>
    <row r="319" spans="10:14">
      <c r="J319" s="124"/>
      <c r="K319" s="123"/>
      <c r="L319" s="125"/>
      <c r="M319" s="1"/>
      <c r="N319"/>
    </row>
    <row r="320" spans="10:14">
      <c r="J320" s="124"/>
      <c r="K320" s="123"/>
      <c r="L320" s="125"/>
      <c r="M320" s="1"/>
      <c r="N320"/>
    </row>
    <row r="321" spans="10:14">
      <c r="J321" s="124"/>
      <c r="K321" s="123"/>
      <c r="L321" s="125"/>
      <c r="M321" s="1"/>
      <c r="N321"/>
    </row>
    <row r="322" spans="10:14">
      <c r="J322" s="124"/>
      <c r="K322" s="123"/>
      <c r="L322" s="125"/>
      <c r="M322" s="1"/>
      <c r="N322"/>
    </row>
    <row r="323" spans="10:14">
      <c r="J323" s="124"/>
      <c r="K323" s="123"/>
      <c r="L323" s="125"/>
      <c r="M323" s="1"/>
      <c r="N323"/>
    </row>
    <row r="324" spans="10:14">
      <c r="J324" s="124"/>
      <c r="K324" s="123"/>
      <c r="L324" s="125"/>
      <c r="M324" s="1"/>
      <c r="N324"/>
    </row>
    <row r="325" spans="10:14">
      <c r="J325" s="124"/>
      <c r="K325" s="123"/>
      <c r="L325" s="125"/>
      <c r="M325" s="1"/>
      <c r="N325"/>
    </row>
    <row r="326" spans="10:14">
      <c r="J326" s="124"/>
      <c r="K326" s="123"/>
      <c r="L326" s="125"/>
      <c r="M326" s="1"/>
      <c r="N326"/>
    </row>
    <row r="327" spans="10:14">
      <c r="J327" s="124"/>
      <c r="K327" s="123"/>
      <c r="L327" s="125"/>
      <c r="M327" s="1"/>
      <c r="N327"/>
    </row>
    <row r="328" spans="10:14">
      <c r="J328" s="124"/>
      <c r="K328" s="123"/>
      <c r="L328" s="125"/>
      <c r="M328" s="1"/>
      <c r="N328"/>
    </row>
    <row r="329" spans="10:14">
      <c r="J329" s="124"/>
      <c r="K329" s="123"/>
      <c r="L329" s="125"/>
      <c r="M329" s="1"/>
      <c r="N329"/>
    </row>
    <row r="330" spans="10:14">
      <c r="J330" s="124"/>
      <c r="K330" s="123"/>
      <c r="L330" s="125"/>
      <c r="M330" s="1"/>
      <c r="N330"/>
    </row>
    <row r="331" spans="10:14">
      <c r="J331" s="124"/>
      <c r="K331" s="123"/>
      <c r="L331" s="125"/>
      <c r="M331" s="1"/>
      <c r="N331"/>
    </row>
    <row r="332" spans="10:14">
      <c r="J332" s="124"/>
      <c r="K332" s="123"/>
      <c r="L332" s="125"/>
      <c r="M332" s="1"/>
      <c r="N332"/>
    </row>
    <row r="333" spans="10:14">
      <c r="J333" s="124"/>
      <c r="K333" s="123"/>
      <c r="L333" s="125"/>
      <c r="M333" s="1"/>
      <c r="N333"/>
    </row>
    <row r="334" spans="10:14">
      <c r="J334" s="124"/>
      <c r="K334" s="123"/>
      <c r="L334" s="125"/>
      <c r="M334" s="1"/>
      <c r="N334"/>
    </row>
    <row r="335" spans="10:14">
      <c r="J335" s="124"/>
      <c r="K335" s="123"/>
      <c r="L335" s="125"/>
      <c r="M335" s="1"/>
      <c r="N335"/>
    </row>
    <row r="336" spans="10:14">
      <c r="J336" s="124"/>
      <c r="K336" s="123"/>
      <c r="L336" s="125"/>
      <c r="M336" s="1"/>
      <c r="N336"/>
    </row>
    <row r="337" spans="10:14">
      <c r="J337" s="124"/>
      <c r="K337" s="123"/>
      <c r="L337" s="125"/>
      <c r="M337" s="1"/>
      <c r="N337"/>
    </row>
    <row r="338" spans="10:14">
      <c r="J338" s="124"/>
      <c r="K338" s="123"/>
      <c r="L338" s="125"/>
      <c r="M338" s="1"/>
      <c r="N338"/>
    </row>
    <row r="339" spans="10:14">
      <c r="J339" s="124"/>
      <c r="K339" s="123"/>
      <c r="L339" s="125"/>
      <c r="M339" s="1"/>
      <c r="N339"/>
    </row>
    <row r="340" spans="10:14">
      <c r="J340" s="124"/>
      <c r="K340" s="123"/>
      <c r="L340" s="125"/>
      <c r="M340" s="1"/>
      <c r="N340"/>
    </row>
    <row r="341" spans="10:14">
      <c r="J341" s="124"/>
      <c r="K341" s="123"/>
      <c r="L341" s="125"/>
      <c r="M341" s="1"/>
      <c r="N341"/>
    </row>
    <row r="342" spans="10:14">
      <c r="J342" s="124"/>
      <c r="K342" s="123"/>
      <c r="L342" s="125"/>
      <c r="M342" s="1"/>
      <c r="N342"/>
    </row>
    <row r="343" spans="10:14">
      <c r="J343" s="124"/>
      <c r="K343" s="123"/>
      <c r="L343" s="125"/>
      <c r="M343" s="1"/>
      <c r="N343"/>
    </row>
    <row r="344" spans="10:14">
      <c r="J344" s="124"/>
      <c r="K344" s="123"/>
      <c r="L344" s="125"/>
      <c r="M344" s="1"/>
      <c r="N344"/>
    </row>
    <row r="345" spans="10:14">
      <c r="J345" s="124"/>
      <c r="K345" s="123"/>
      <c r="L345" s="125"/>
      <c r="M345" s="1"/>
      <c r="N345"/>
    </row>
    <row r="346" spans="10:14">
      <c r="J346" s="124"/>
      <c r="K346" s="123"/>
      <c r="L346" s="125"/>
      <c r="M346" s="1"/>
      <c r="N346"/>
    </row>
    <row r="347" spans="10:14">
      <c r="J347" s="124"/>
      <c r="K347" s="123"/>
      <c r="L347" s="125"/>
      <c r="M347" s="1"/>
      <c r="N347"/>
    </row>
    <row r="348" spans="10:14">
      <c r="J348" s="124"/>
      <c r="K348" s="123"/>
      <c r="L348" s="125"/>
      <c r="M348" s="1"/>
      <c r="N348"/>
    </row>
    <row r="349" spans="10:14">
      <c r="J349" s="124"/>
      <c r="K349" s="123"/>
      <c r="L349" s="125"/>
      <c r="M349" s="1"/>
      <c r="N349"/>
    </row>
    <row r="350" spans="10:14">
      <c r="J350" s="124"/>
      <c r="K350" s="123"/>
      <c r="L350" s="125"/>
      <c r="M350" s="1"/>
      <c r="N350"/>
    </row>
    <row r="351" spans="10:14">
      <c r="J351" s="124"/>
      <c r="K351" s="123"/>
      <c r="L351" s="125"/>
      <c r="M351" s="1"/>
      <c r="N351"/>
    </row>
    <row r="352" spans="10:14">
      <c r="J352" s="124"/>
      <c r="K352" s="123"/>
      <c r="L352" s="125"/>
      <c r="M352" s="1"/>
      <c r="N352"/>
    </row>
    <row r="353" spans="10:14">
      <c r="J353" s="124"/>
      <c r="K353" s="123"/>
      <c r="L353" s="125"/>
      <c r="M353" s="1"/>
      <c r="N353"/>
    </row>
    <row r="354" spans="10:14">
      <c r="J354" s="124"/>
      <c r="K354" s="123"/>
      <c r="L354" s="125"/>
      <c r="M354" s="1"/>
      <c r="N354"/>
    </row>
    <row r="355" spans="10:14">
      <c r="J355" s="124"/>
      <c r="K355" s="123"/>
      <c r="L355" s="125"/>
      <c r="M355" s="1"/>
      <c r="N355"/>
    </row>
    <row r="356" spans="10:14">
      <c r="J356" s="124"/>
      <c r="K356" s="123"/>
      <c r="L356" s="125"/>
      <c r="M356" s="1"/>
      <c r="N356"/>
    </row>
    <row r="357" spans="10:14">
      <c r="J357" s="124"/>
      <c r="K357" s="123"/>
      <c r="L357" s="125"/>
      <c r="M357" s="1"/>
      <c r="N357"/>
    </row>
    <row r="358" spans="10:14">
      <c r="J358" s="124"/>
      <c r="K358" s="123"/>
      <c r="L358" s="125"/>
      <c r="M358" s="1"/>
      <c r="N358"/>
    </row>
    <row r="359" spans="10:14">
      <c r="J359" s="124"/>
      <c r="K359" s="123"/>
      <c r="L359" s="125"/>
      <c r="M359" s="1"/>
      <c r="N359"/>
    </row>
    <row r="360" spans="10:14">
      <c r="J360" s="124"/>
      <c r="K360" s="123"/>
      <c r="L360" s="125"/>
      <c r="M360" s="1"/>
      <c r="N360"/>
    </row>
    <row r="361" spans="10:14">
      <c r="J361" s="124"/>
      <c r="K361" s="123"/>
      <c r="L361" s="125"/>
      <c r="M361" s="1"/>
      <c r="N361"/>
    </row>
    <row r="362" spans="10:14">
      <c r="J362" s="124"/>
      <c r="K362" s="123"/>
      <c r="L362" s="125"/>
      <c r="M362" s="1"/>
      <c r="N362"/>
    </row>
    <row r="363" spans="10:14">
      <c r="J363" s="124"/>
      <c r="K363" s="123"/>
      <c r="L363" s="125"/>
      <c r="M363" s="1"/>
      <c r="N363"/>
    </row>
    <row r="364" spans="10:14">
      <c r="J364" s="124"/>
      <c r="K364" s="123"/>
      <c r="L364" s="125"/>
      <c r="M364" s="1"/>
      <c r="N364"/>
    </row>
    <row r="365" spans="10:14">
      <c r="J365" s="124"/>
      <c r="K365" s="123"/>
      <c r="L365" s="125"/>
      <c r="M365" s="1"/>
      <c r="N365"/>
    </row>
    <row r="366" spans="10:14">
      <c r="J366" s="124"/>
      <c r="K366" s="123"/>
      <c r="L366" s="125"/>
      <c r="M366" s="1"/>
      <c r="N366"/>
    </row>
    <row r="367" spans="10:14">
      <c r="J367" s="124"/>
      <c r="K367" s="123"/>
      <c r="L367" s="125"/>
      <c r="M367" s="1"/>
      <c r="N367"/>
    </row>
    <row r="368" spans="10:14">
      <c r="J368" s="124"/>
      <c r="K368" s="123"/>
      <c r="L368" s="125"/>
      <c r="M368" s="1"/>
      <c r="N368"/>
    </row>
    <row r="369" spans="10:14">
      <c r="J369" s="124"/>
      <c r="K369" s="123"/>
      <c r="L369" s="125"/>
      <c r="M369" s="1"/>
      <c r="N369"/>
    </row>
    <row r="370" spans="10:14">
      <c r="J370" s="124"/>
      <c r="K370" s="123"/>
      <c r="L370" s="125"/>
      <c r="M370" s="1"/>
      <c r="N370"/>
    </row>
    <row r="371" spans="10:14">
      <c r="J371" s="124"/>
      <c r="K371" s="123"/>
      <c r="L371" s="125"/>
      <c r="M371" s="1"/>
      <c r="N371"/>
    </row>
    <row r="372" spans="10:14">
      <c r="J372" s="124"/>
      <c r="K372" s="123"/>
      <c r="L372" s="125"/>
      <c r="M372" s="1"/>
      <c r="N372"/>
    </row>
    <row r="373" spans="10:14">
      <c r="J373" s="124"/>
      <c r="K373" s="123"/>
      <c r="L373" s="125"/>
      <c r="M373" s="1"/>
      <c r="N373"/>
    </row>
    <row r="374" spans="10:14">
      <c r="J374" s="124"/>
      <c r="K374" s="123"/>
      <c r="L374" s="125"/>
      <c r="M374" s="1"/>
      <c r="N374"/>
    </row>
    <row r="375" spans="10:14">
      <c r="J375" s="124"/>
      <c r="K375" s="123"/>
      <c r="L375" s="125"/>
      <c r="M375" s="1"/>
      <c r="N375"/>
    </row>
    <row r="376" spans="10:14">
      <c r="J376" s="124"/>
      <c r="K376" s="123"/>
      <c r="L376" s="125"/>
      <c r="M376" s="1"/>
      <c r="N376"/>
    </row>
    <row r="377" spans="10:14">
      <c r="J377" s="124"/>
      <c r="K377" s="123"/>
      <c r="L377" s="125"/>
      <c r="M377" s="1"/>
      <c r="N377"/>
    </row>
    <row r="378" spans="10:14">
      <c r="J378" s="124"/>
      <c r="K378" s="123"/>
      <c r="L378" s="125"/>
      <c r="M378" s="1"/>
      <c r="N378"/>
    </row>
    <row r="379" spans="10:14">
      <c r="J379" s="124"/>
      <c r="K379" s="123"/>
      <c r="L379" s="125"/>
      <c r="M379" s="1"/>
      <c r="N379"/>
    </row>
    <row r="380" spans="10:14">
      <c r="J380" s="124"/>
      <c r="K380" s="123"/>
      <c r="L380" s="125"/>
      <c r="M380" s="1"/>
      <c r="N380"/>
    </row>
    <row r="381" spans="10:14">
      <c r="J381" s="124"/>
      <c r="K381" s="123"/>
      <c r="L381" s="125"/>
      <c r="M381" s="1"/>
      <c r="N381"/>
    </row>
    <row r="382" spans="10:14">
      <c r="J382" s="124"/>
      <c r="K382" s="123"/>
      <c r="L382" s="125"/>
      <c r="M382" s="1"/>
      <c r="N382"/>
    </row>
    <row r="383" spans="10:14">
      <c r="J383" s="124"/>
      <c r="K383" s="123"/>
      <c r="L383" s="125"/>
      <c r="M383" s="1"/>
      <c r="N383"/>
    </row>
    <row r="384" spans="10:14">
      <c r="J384" s="124"/>
      <c r="K384" s="123"/>
      <c r="L384" s="125"/>
      <c r="M384" s="1"/>
      <c r="N384"/>
    </row>
    <row r="385" spans="10:14">
      <c r="J385" s="124"/>
      <c r="K385" s="123"/>
      <c r="L385" s="125"/>
      <c r="M385" s="1"/>
      <c r="N385"/>
    </row>
    <row r="386" spans="10:14">
      <c r="J386" s="124"/>
      <c r="K386" s="123"/>
      <c r="L386" s="125"/>
      <c r="M386" s="1"/>
      <c r="N386"/>
    </row>
    <row r="387" spans="10:14">
      <c r="J387" s="124"/>
      <c r="K387" s="123"/>
      <c r="L387" s="125"/>
      <c r="M387" s="1"/>
      <c r="N387"/>
    </row>
    <row r="388" spans="10:14">
      <c r="J388" s="124"/>
      <c r="K388" s="123"/>
      <c r="L388" s="125"/>
      <c r="M388" s="1"/>
      <c r="N388"/>
    </row>
    <row r="389" spans="10:14">
      <c r="J389" s="124"/>
      <c r="K389" s="123"/>
      <c r="L389" s="125"/>
      <c r="M389" s="1"/>
      <c r="N389"/>
    </row>
    <row r="390" spans="10:14">
      <c r="J390" s="124"/>
      <c r="K390" s="123"/>
      <c r="L390" s="125"/>
      <c r="M390" s="1"/>
      <c r="N390"/>
    </row>
    <row r="391" spans="10:14">
      <c r="J391" s="124"/>
      <c r="K391" s="123"/>
      <c r="L391" s="125"/>
      <c r="M391" s="1"/>
      <c r="N391"/>
    </row>
    <row r="392" spans="10:14">
      <c r="J392" s="124"/>
      <c r="K392" s="123"/>
      <c r="L392" s="125"/>
      <c r="M392" s="1"/>
      <c r="N392"/>
    </row>
    <row r="393" spans="10:14">
      <c r="J393" s="124"/>
      <c r="K393" s="123"/>
      <c r="L393" s="125"/>
      <c r="M393" s="1"/>
      <c r="N393"/>
    </row>
    <row r="394" spans="10:14">
      <c r="J394" s="124"/>
      <c r="K394" s="123"/>
      <c r="L394" s="125"/>
      <c r="M394" s="1"/>
      <c r="N394"/>
    </row>
    <row r="395" spans="10:14">
      <c r="J395" s="124"/>
      <c r="K395" s="123"/>
      <c r="L395" s="125"/>
      <c r="M395" s="1"/>
      <c r="N395"/>
    </row>
    <row r="396" spans="10:14">
      <c r="J396" s="124"/>
      <c r="K396" s="123"/>
      <c r="L396" s="125"/>
      <c r="M396" s="1"/>
      <c r="N396"/>
    </row>
    <row r="397" spans="10:14">
      <c r="J397" s="124"/>
      <c r="K397" s="123"/>
      <c r="L397" s="125"/>
      <c r="M397" s="1"/>
      <c r="N397"/>
    </row>
    <row r="398" spans="10:14">
      <c r="J398" s="124"/>
      <c r="K398" s="123"/>
      <c r="L398" s="125"/>
      <c r="M398" s="1"/>
      <c r="N398"/>
    </row>
    <row r="399" spans="10:14">
      <c r="J399" s="124"/>
      <c r="K399" s="123"/>
      <c r="L399" s="125"/>
      <c r="M399" s="1"/>
      <c r="N399"/>
    </row>
    <row r="400" spans="10:14">
      <c r="J400" s="124"/>
      <c r="K400" s="123"/>
      <c r="L400" s="125"/>
      <c r="M400" s="1"/>
      <c r="N400"/>
    </row>
    <row r="401" spans="10:14">
      <c r="J401" s="124"/>
      <c r="K401" s="123"/>
      <c r="L401" s="125"/>
      <c r="M401" s="1"/>
      <c r="N401"/>
    </row>
    <row r="402" spans="10:14">
      <c r="J402" s="124"/>
      <c r="K402" s="123"/>
      <c r="L402" s="125"/>
      <c r="M402" s="1"/>
      <c r="N402"/>
    </row>
    <row r="403" spans="10:14">
      <c r="J403" s="124"/>
      <c r="K403" s="123"/>
      <c r="L403" s="125"/>
      <c r="M403" s="1"/>
      <c r="N403"/>
    </row>
    <row r="404" spans="10:14">
      <c r="J404" s="124"/>
      <c r="K404" s="123"/>
      <c r="L404" s="125"/>
      <c r="M404" s="1"/>
      <c r="N404"/>
    </row>
    <row r="405" spans="10:14">
      <c r="J405" s="124"/>
      <c r="K405" s="123"/>
      <c r="L405" s="125"/>
      <c r="M405" s="1"/>
      <c r="N405"/>
    </row>
    <row r="406" spans="10:14">
      <c r="J406" s="124"/>
      <c r="K406" s="123"/>
      <c r="L406" s="125"/>
      <c r="M406" s="1"/>
      <c r="N406"/>
    </row>
    <row r="407" spans="10:14">
      <c r="J407" s="124"/>
      <c r="K407" s="123"/>
      <c r="L407" s="125"/>
      <c r="M407" s="1"/>
      <c r="N407"/>
    </row>
    <row r="408" spans="10:14">
      <c r="J408" s="124"/>
      <c r="K408" s="123"/>
      <c r="L408" s="125"/>
      <c r="M408" s="1"/>
      <c r="N408"/>
    </row>
    <row r="409" spans="10:14">
      <c r="J409" s="124"/>
      <c r="K409" s="123"/>
      <c r="L409" s="125"/>
      <c r="M409" s="1"/>
      <c r="N409"/>
    </row>
    <row r="410" spans="10:14">
      <c r="J410" s="124"/>
      <c r="K410" s="123"/>
      <c r="L410" s="125"/>
      <c r="M410" s="1"/>
      <c r="N410"/>
    </row>
    <row r="411" spans="10:14">
      <c r="J411" s="124"/>
      <c r="K411" s="123"/>
      <c r="L411" s="125"/>
      <c r="M411" s="1"/>
      <c r="N411"/>
    </row>
    <row r="412" spans="10:14">
      <c r="J412" s="124"/>
      <c r="K412" s="123"/>
      <c r="L412" s="125"/>
      <c r="M412" s="1"/>
      <c r="N412"/>
    </row>
    <row r="413" spans="10:14">
      <c r="J413" s="124"/>
      <c r="K413" s="123"/>
      <c r="L413" s="125"/>
      <c r="M413" s="1"/>
      <c r="N413"/>
    </row>
    <row r="414" spans="10:14">
      <c r="J414" s="124"/>
      <c r="K414" s="123"/>
      <c r="L414" s="125"/>
      <c r="M414" s="1"/>
      <c r="N414"/>
    </row>
    <row r="415" spans="10:14">
      <c r="J415" s="124"/>
      <c r="K415" s="123"/>
      <c r="L415" s="125"/>
      <c r="M415" s="1"/>
      <c r="N415"/>
    </row>
    <row r="416" spans="10:14">
      <c r="J416" s="124"/>
      <c r="K416" s="123"/>
      <c r="L416" s="125"/>
      <c r="M416" s="1"/>
      <c r="N416"/>
    </row>
    <row r="417" spans="10:14">
      <c r="J417" s="124"/>
      <c r="K417" s="123"/>
      <c r="L417" s="125"/>
      <c r="M417" s="1"/>
      <c r="N417"/>
    </row>
    <row r="418" spans="10:14">
      <c r="J418" s="124"/>
      <c r="K418" s="123"/>
      <c r="L418" s="125"/>
      <c r="M418" s="1"/>
      <c r="N418"/>
    </row>
    <row r="419" spans="10:14">
      <c r="J419" s="124"/>
      <c r="K419" s="123"/>
      <c r="L419" s="125"/>
      <c r="M419" s="1"/>
      <c r="N419"/>
    </row>
    <row r="420" spans="10:14">
      <c r="J420" s="124"/>
      <c r="K420" s="123"/>
      <c r="L420" s="125"/>
      <c r="M420" s="1"/>
      <c r="N420"/>
    </row>
    <row r="421" spans="10:14">
      <c r="J421" s="124"/>
      <c r="K421" s="123"/>
      <c r="L421" s="125"/>
      <c r="M421" s="1"/>
      <c r="N421"/>
    </row>
    <row r="422" spans="10:14">
      <c r="J422" s="124"/>
      <c r="K422" s="123"/>
      <c r="L422" s="125"/>
      <c r="M422" s="1"/>
      <c r="N422"/>
    </row>
    <row r="423" spans="10:14">
      <c r="J423" s="124"/>
      <c r="K423" s="123"/>
      <c r="L423" s="125"/>
      <c r="M423" s="1"/>
      <c r="N423"/>
    </row>
    <row r="424" spans="10:14">
      <c r="J424" s="124"/>
      <c r="K424" s="123"/>
      <c r="L424" s="125"/>
      <c r="M424" s="1"/>
      <c r="N424"/>
    </row>
    <row r="425" spans="10:14">
      <c r="J425" s="124"/>
      <c r="K425" s="123"/>
      <c r="L425" s="125"/>
      <c r="M425" s="1"/>
      <c r="N425"/>
    </row>
    <row r="426" spans="10:14">
      <c r="J426" s="124"/>
      <c r="K426" s="123"/>
      <c r="L426" s="125"/>
      <c r="M426" s="1"/>
      <c r="N426"/>
    </row>
    <row r="427" spans="10:14">
      <c r="J427" s="124"/>
      <c r="K427" s="123"/>
      <c r="L427" s="125"/>
      <c r="M427" s="1"/>
      <c r="N427"/>
    </row>
    <row r="428" spans="10:14">
      <c r="J428" s="124"/>
      <c r="K428" s="123"/>
      <c r="L428" s="125"/>
      <c r="M428" s="1"/>
      <c r="N428"/>
    </row>
    <row r="429" spans="10:14">
      <c r="J429" s="124"/>
      <c r="K429" s="123"/>
      <c r="L429" s="125"/>
      <c r="M429" s="1"/>
      <c r="N429"/>
    </row>
    <row r="430" spans="10:14">
      <c r="J430" s="124"/>
      <c r="K430" s="123"/>
      <c r="L430" s="125"/>
      <c r="M430" s="1"/>
      <c r="N430"/>
    </row>
    <row r="431" spans="10:14">
      <c r="J431" s="124"/>
      <c r="K431" s="123"/>
      <c r="L431" s="125"/>
      <c r="M431" s="1"/>
      <c r="N431"/>
    </row>
    <row r="432" spans="10:14">
      <c r="J432" s="124"/>
      <c r="K432" s="123"/>
      <c r="L432" s="125"/>
      <c r="M432" s="1"/>
      <c r="N432"/>
    </row>
    <row r="433" spans="10:14">
      <c r="J433" s="124"/>
      <c r="K433" s="123"/>
      <c r="L433" s="125"/>
      <c r="M433" s="1"/>
      <c r="N433"/>
    </row>
    <row r="434" spans="10:14">
      <c r="J434" s="124"/>
      <c r="K434" s="123"/>
      <c r="L434" s="125"/>
      <c r="M434" s="1"/>
      <c r="N434"/>
    </row>
    <row r="435" spans="10:14">
      <c r="J435" s="124"/>
      <c r="K435" s="123"/>
      <c r="L435" s="125"/>
      <c r="M435" s="1"/>
      <c r="N435"/>
    </row>
    <row r="436" spans="10:14">
      <c r="J436" s="124"/>
      <c r="K436" s="123"/>
      <c r="L436" s="125"/>
      <c r="M436" s="1"/>
      <c r="N436"/>
    </row>
    <row r="437" spans="10:14">
      <c r="J437" s="124"/>
      <c r="K437" s="123"/>
      <c r="L437" s="125"/>
      <c r="M437" s="1"/>
      <c r="N437"/>
    </row>
    <row r="438" spans="10:14">
      <c r="J438" s="124"/>
      <c r="K438" s="123"/>
      <c r="L438" s="125"/>
      <c r="M438" s="1"/>
      <c r="N438"/>
    </row>
    <row r="439" spans="10:14">
      <c r="J439" s="124"/>
      <c r="K439" s="123"/>
      <c r="L439" s="125"/>
      <c r="M439" s="1"/>
      <c r="N439"/>
    </row>
    <row r="440" spans="10:14">
      <c r="J440" s="124"/>
      <c r="K440" s="123"/>
      <c r="L440" s="125"/>
      <c r="M440" s="1"/>
      <c r="N440"/>
    </row>
    <row r="441" spans="10:14">
      <c r="J441" s="124"/>
      <c r="K441" s="123"/>
      <c r="L441" s="125"/>
      <c r="M441" s="1"/>
      <c r="N441"/>
    </row>
    <row r="442" spans="10:14">
      <c r="J442" s="124"/>
      <c r="K442" s="123"/>
      <c r="L442" s="125"/>
      <c r="M442" s="1"/>
      <c r="N442"/>
    </row>
    <row r="443" spans="10:14">
      <c r="J443" s="124"/>
      <c r="K443" s="123"/>
      <c r="L443" s="125"/>
      <c r="M443" s="1"/>
      <c r="N443"/>
    </row>
    <row r="444" spans="10:14">
      <c r="J444" s="124"/>
      <c r="K444" s="123"/>
      <c r="L444" s="125"/>
      <c r="M444" s="1"/>
      <c r="N444"/>
    </row>
    <row r="445" spans="10:14">
      <c r="J445" s="124"/>
      <c r="K445" s="123"/>
      <c r="L445" s="125"/>
      <c r="M445" s="1"/>
      <c r="N445"/>
    </row>
    <row r="446" spans="10:14">
      <c r="J446" s="124"/>
      <c r="K446" s="123"/>
      <c r="L446" s="125"/>
      <c r="M446" s="1"/>
      <c r="N446"/>
    </row>
    <row r="447" spans="10:14">
      <c r="J447" s="124"/>
      <c r="K447" s="123"/>
      <c r="L447" s="125"/>
      <c r="M447" s="1"/>
      <c r="N447"/>
    </row>
    <row r="448" spans="10:14">
      <c r="J448" s="124"/>
      <c r="K448" s="123"/>
      <c r="L448" s="125"/>
      <c r="M448" s="1"/>
      <c r="N448"/>
    </row>
    <row r="449" spans="10:14">
      <c r="J449" s="124"/>
      <c r="K449" s="123"/>
      <c r="L449" s="125"/>
      <c r="M449" s="1"/>
      <c r="N449"/>
    </row>
    <row r="450" spans="10:14">
      <c r="J450" s="124"/>
      <c r="K450" s="123"/>
      <c r="L450" s="125"/>
      <c r="M450" s="1"/>
      <c r="N450"/>
    </row>
    <row r="451" spans="10:14">
      <c r="J451" s="124"/>
      <c r="K451" s="123"/>
      <c r="L451" s="125"/>
      <c r="M451" s="1"/>
      <c r="N451"/>
    </row>
    <row r="452" spans="10:14">
      <c r="J452" s="124"/>
      <c r="K452" s="123"/>
      <c r="L452" s="125"/>
      <c r="M452" s="1"/>
      <c r="N452"/>
    </row>
    <row r="453" spans="10:14">
      <c r="J453" s="124"/>
      <c r="K453" s="123"/>
      <c r="L453" s="125"/>
      <c r="M453" s="1"/>
      <c r="N453"/>
    </row>
    <row r="454" spans="10:14">
      <c r="J454" s="124"/>
      <c r="K454" s="123"/>
      <c r="L454" s="125"/>
      <c r="M454" s="1"/>
      <c r="N454"/>
    </row>
    <row r="455" spans="10:14">
      <c r="J455" s="124"/>
      <c r="K455" s="123"/>
      <c r="L455" s="125"/>
      <c r="M455" s="1"/>
      <c r="N455"/>
    </row>
    <row r="456" spans="10:14">
      <c r="J456" s="124"/>
      <c r="K456" s="123"/>
      <c r="L456" s="125"/>
      <c r="M456" s="1"/>
      <c r="N456"/>
    </row>
    <row r="457" spans="10:14">
      <c r="J457" s="124"/>
      <c r="K457" s="123"/>
      <c r="L457" s="125"/>
      <c r="M457" s="1"/>
      <c r="N457"/>
    </row>
    <row r="458" spans="10:14">
      <c r="J458" s="124"/>
      <c r="K458" s="123"/>
      <c r="L458" s="125"/>
      <c r="M458" s="1"/>
      <c r="N458"/>
    </row>
    <row r="459" spans="10:14">
      <c r="J459" s="124"/>
      <c r="K459" s="123"/>
      <c r="L459" s="125"/>
      <c r="M459" s="1"/>
      <c r="N459"/>
    </row>
    <row r="460" spans="10:14">
      <c r="J460" s="124"/>
      <c r="K460" s="123"/>
      <c r="L460" s="125"/>
      <c r="M460" s="1"/>
      <c r="N460"/>
    </row>
    <row r="461" spans="10:14">
      <c r="J461" s="124"/>
      <c r="K461" s="123"/>
      <c r="L461" s="125"/>
      <c r="M461" s="1"/>
      <c r="N461"/>
    </row>
    <row r="462" spans="10:14">
      <c r="J462" s="124"/>
      <c r="K462" s="123"/>
      <c r="L462" s="125"/>
      <c r="M462" s="1"/>
      <c r="N462"/>
    </row>
    <row r="463" spans="10:14">
      <c r="J463" s="124"/>
      <c r="K463" s="123"/>
      <c r="L463" s="125"/>
      <c r="M463" s="1"/>
      <c r="N463"/>
    </row>
    <row r="464" spans="10:14">
      <c r="J464" s="124"/>
      <c r="K464" s="123"/>
      <c r="L464" s="125"/>
      <c r="M464" s="1"/>
      <c r="N464"/>
    </row>
    <row r="465" spans="10:14">
      <c r="J465" s="124"/>
      <c r="K465" s="123"/>
      <c r="L465" s="125"/>
      <c r="M465" s="1"/>
      <c r="N465"/>
    </row>
    <row r="466" spans="10:14">
      <c r="J466" s="124"/>
      <c r="K466" s="123"/>
      <c r="L466" s="125"/>
      <c r="M466" s="1"/>
      <c r="N466"/>
    </row>
    <row r="467" spans="10:14">
      <c r="J467" s="124"/>
      <c r="K467" s="123"/>
      <c r="L467" s="125"/>
      <c r="M467" s="1"/>
      <c r="N467"/>
    </row>
    <row r="468" spans="10:14">
      <c r="J468" s="124"/>
      <c r="K468" s="123"/>
      <c r="L468" s="125"/>
      <c r="M468" s="1"/>
      <c r="N468"/>
    </row>
    <row r="469" spans="10:14">
      <c r="J469" s="124"/>
      <c r="K469" s="123"/>
      <c r="L469" s="125"/>
      <c r="M469" s="1"/>
      <c r="N469"/>
    </row>
    <row r="470" spans="10:14">
      <c r="J470" s="124"/>
      <c r="K470" s="123"/>
      <c r="L470" s="125"/>
      <c r="M470" s="1"/>
      <c r="N470"/>
    </row>
    <row r="471" spans="10:14">
      <c r="J471" s="124"/>
      <c r="K471" s="123"/>
      <c r="L471" s="125"/>
      <c r="M471" s="1"/>
      <c r="N471"/>
    </row>
    <row r="472" spans="10:14">
      <c r="J472" s="124"/>
      <c r="K472" s="123"/>
      <c r="L472" s="125"/>
      <c r="M472" s="1"/>
      <c r="N472"/>
    </row>
    <row r="473" spans="10:14">
      <c r="J473" s="124"/>
      <c r="K473" s="123"/>
      <c r="L473" s="125"/>
      <c r="M473" s="1"/>
      <c r="N473"/>
    </row>
    <row r="474" spans="10:14">
      <c r="J474" s="124"/>
      <c r="K474" s="123"/>
      <c r="L474" s="125"/>
      <c r="M474" s="1"/>
      <c r="N474"/>
    </row>
    <row r="475" spans="10:14">
      <c r="J475" s="124"/>
      <c r="K475" s="123"/>
      <c r="L475" s="125"/>
      <c r="M475" s="1"/>
      <c r="N475"/>
    </row>
    <row r="476" spans="10:14">
      <c r="J476" s="124"/>
      <c r="K476" s="123"/>
      <c r="L476" s="125"/>
      <c r="M476" s="1"/>
      <c r="N476"/>
    </row>
    <row r="477" spans="10:14">
      <c r="J477" s="124"/>
      <c r="K477" s="123"/>
      <c r="L477" s="125"/>
      <c r="M477" s="1"/>
      <c r="N477"/>
    </row>
    <row r="478" spans="10:14">
      <c r="J478" s="124"/>
      <c r="K478" s="123"/>
      <c r="L478" s="125"/>
      <c r="M478" s="1"/>
      <c r="N478"/>
    </row>
    <row r="479" spans="10:14">
      <c r="J479" s="124"/>
      <c r="K479" s="123"/>
      <c r="L479" s="125"/>
      <c r="M479" s="1"/>
      <c r="N479"/>
    </row>
    <row r="480" spans="10:14">
      <c r="J480" s="124"/>
      <c r="K480" s="123"/>
      <c r="L480" s="125"/>
      <c r="M480" s="1"/>
      <c r="N480"/>
    </row>
    <row r="481" spans="10:14">
      <c r="J481" s="124"/>
      <c r="K481" s="123"/>
      <c r="L481" s="125"/>
      <c r="M481" s="1"/>
      <c r="N481"/>
    </row>
    <row r="482" spans="10:14">
      <c r="J482" s="124"/>
      <c r="K482" s="123"/>
      <c r="L482" s="125"/>
      <c r="M482" s="1"/>
      <c r="N482"/>
    </row>
    <row r="483" spans="10:14">
      <c r="J483" s="124"/>
      <c r="K483" s="123"/>
      <c r="L483" s="125"/>
      <c r="M483" s="1"/>
      <c r="N483"/>
    </row>
    <row r="484" spans="10:14">
      <c r="J484" s="124"/>
      <c r="K484" s="123"/>
      <c r="L484" s="125"/>
      <c r="M484" s="1"/>
      <c r="N484"/>
    </row>
    <row r="485" spans="10:14">
      <c r="J485" s="124"/>
      <c r="K485" s="123"/>
      <c r="L485" s="125"/>
      <c r="M485" s="1"/>
      <c r="N485"/>
    </row>
    <row r="486" spans="10:14">
      <c r="J486" s="124"/>
      <c r="K486" s="123"/>
      <c r="L486" s="125"/>
      <c r="M486" s="1"/>
      <c r="N486"/>
    </row>
    <row r="487" spans="10:14">
      <c r="J487" s="124"/>
      <c r="K487" s="123"/>
      <c r="L487" s="125"/>
      <c r="M487" s="1"/>
      <c r="N487"/>
    </row>
    <row r="488" spans="10:14">
      <c r="J488" s="124"/>
      <c r="K488" s="123"/>
      <c r="L488" s="125"/>
      <c r="M488" s="1"/>
      <c r="N488"/>
    </row>
    <row r="489" spans="10:14">
      <c r="J489" s="124"/>
      <c r="K489" s="123"/>
      <c r="L489" s="125"/>
      <c r="M489" s="1"/>
      <c r="N489"/>
    </row>
    <row r="490" spans="10:14">
      <c r="J490" s="124"/>
      <c r="K490" s="123"/>
      <c r="L490" s="125"/>
      <c r="M490" s="1"/>
      <c r="N490"/>
    </row>
    <row r="491" spans="10:14">
      <c r="J491" s="124"/>
      <c r="K491" s="123"/>
      <c r="L491" s="125"/>
      <c r="M491" s="1"/>
      <c r="N491"/>
    </row>
  </sheetData>
  <mergeCells count="17">
    <mergeCell ref="D7:D8"/>
    <mergeCell ref="C7:C8"/>
    <mergeCell ref="B7:B8"/>
    <mergeCell ref="A52:B52"/>
    <mergeCell ref="A1:M1"/>
    <mergeCell ref="A2:M2"/>
    <mergeCell ref="A3:M3"/>
    <mergeCell ref="A5:M5"/>
    <mergeCell ref="C6:H6"/>
    <mergeCell ref="A4:M4"/>
    <mergeCell ref="A6:A8"/>
    <mergeCell ref="I7:I8"/>
    <mergeCell ref="K7:K8"/>
    <mergeCell ref="M7:M8"/>
    <mergeCell ref="H7:H8"/>
    <mergeCell ref="G7:G8"/>
    <mergeCell ref="F7:F8"/>
  </mergeCells>
  <phoneticPr fontId="10" type="noConversion"/>
  <pageMargins left="0.82677165354330717" right="0" top="0.82677165354330717" bottom="0.27559055118110237" header="0" footer="0"/>
  <pageSetup scale="70" orientation="portrait" verticalDpi="300" r:id="rId1"/>
  <headerFooter alignWithMargins="0"/>
  <colBreaks count="1" manualBreakCount="1">
    <brk id="13" max="72"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L450"/>
  <sheetViews>
    <sheetView topLeftCell="A98" zoomScale="90" zoomScaleNormal="90" workbookViewId="0">
      <selection activeCell="J105" sqref="J105:K105"/>
    </sheetView>
  </sheetViews>
  <sheetFormatPr baseColWidth="10" defaultRowHeight="13.5"/>
  <cols>
    <col min="1" max="1" width="6.5703125" style="43" customWidth="1"/>
    <col min="2" max="2" width="38" style="138" customWidth="1"/>
    <col min="3" max="3" width="16" style="46" customWidth="1"/>
    <col min="4" max="4" width="18.7109375" style="46" customWidth="1"/>
    <col min="5" max="5" width="11.42578125" style="46" hidden="1" customWidth="1"/>
    <col min="6" max="6" width="18.42578125" style="46" hidden="1" customWidth="1"/>
    <col min="7" max="7" width="20.85546875" style="46" customWidth="1"/>
    <col min="8" max="8" width="18.140625" style="46" customWidth="1"/>
    <col min="9" max="9" width="17.7109375" style="46" customWidth="1"/>
    <col min="10" max="10" width="17.42578125" style="46" bestFit="1" customWidth="1"/>
    <col min="11" max="11" width="22.140625" customWidth="1"/>
    <col min="12" max="12" width="15.5703125" customWidth="1"/>
  </cols>
  <sheetData>
    <row r="1" spans="1:10" ht="21">
      <c r="A1" s="1411"/>
      <c r="B1" s="1411"/>
      <c r="C1" s="1411"/>
      <c r="D1" s="1411"/>
      <c r="E1" s="1411"/>
      <c r="F1" s="1411"/>
      <c r="G1" s="1411"/>
      <c r="H1" s="1411"/>
      <c r="I1" s="1411"/>
      <c r="J1" s="1411"/>
    </row>
    <row r="2" spans="1:10" ht="24" customHeight="1">
      <c r="A2" s="1412" t="s">
        <v>537</v>
      </c>
      <c r="B2" s="1412"/>
      <c r="C2" s="1412"/>
      <c r="D2" s="1412"/>
      <c r="E2" s="1412"/>
      <c r="F2" s="1412"/>
      <c r="G2" s="1412"/>
      <c r="H2" s="1412"/>
      <c r="I2" s="1412"/>
      <c r="J2" s="1412"/>
    </row>
    <row r="3" spans="1:10" ht="24" customHeight="1">
      <c r="A3" s="1413" t="s">
        <v>911</v>
      </c>
      <c r="B3" s="1413"/>
      <c r="C3" s="1413"/>
      <c r="D3" s="1413"/>
      <c r="E3" s="1413"/>
      <c r="F3" s="1413"/>
      <c r="G3" s="1413"/>
      <c r="H3" s="1413"/>
      <c r="I3" s="1413"/>
      <c r="J3" s="1413"/>
    </row>
    <row r="4" spans="1:10" ht="24" customHeight="1">
      <c r="A4" s="1413" t="s">
        <v>928</v>
      </c>
      <c r="B4" s="1413"/>
      <c r="C4" s="1413"/>
      <c r="D4" s="1413"/>
      <c r="E4" s="1413"/>
      <c r="F4" s="1413"/>
      <c r="G4" s="1413"/>
      <c r="H4" s="1413"/>
      <c r="I4" s="1413"/>
      <c r="J4" s="1413"/>
    </row>
    <row r="5" spans="1:10" ht="23.25">
      <c r="A5" s="1413" t="s">
        <v>790</v>
      </c>
      <c r="B5" s="1413"/>
      <c r="C5" s="1413"/>
      <c r="D5" s="1413"/>
      <c r="E5" s="1413"/>
      <c r="F5" s="1413"/>
      <c r="G5" s="1413"/>
      <c r="H5" s="1413"/>
      <c r="I5" s="1413"/>
      <c r="J5" s="1413"/>
    </row>
    <row r="6" spans="1:10" ht="33" customHeight="1">
      <c r="A6" s="1206"/>
      <c r="B6" s="1206"/>
      <c r="C6" s="1206"/>
      <c r="D6" s="1206"/>
      <c r="E6" s="1206"/>
      <c r="F6" s="1206"/>
      <c r="G6" s="1206"/>
      <c r="H6" s="1206"/>
      <c r="I6" s="1206"/>
      <c r="J6" s="1206"/>
    </row>
    <row r="7" spans="1:10" ht="45" customHeight="1">
      <c r="A7" s="1414" t="s">
        <v>12</v>
      </c>
      <c r="B7" s="1414"/>
      <c r="C7" s="1414"/>
      <c r="D7" s="1414"/>
      <c r="E7" s="1414"/>
      <c r="F7" s="1414"/>
      <c r="G7" s="1414"/>
      <c r="H7" s="1414"/>
      <c r="I7" s="1414"/>
      <c r="J7" s="1414"/>
    </row>
    <row r="8" spans="1:10" ht="31.5" customHeight="1">
      <c r="A8" s="1415" t="s">
        <v>13</v>
      </c>
      <c r="B8" s="979"/>
      <c r="C8" s="1406" t="s">
        <v>553</v>
      </c>
      <c r="D8" s="1407"/>
      <c r="E8" s="1407"/>
      <c r="F8" s="1407"/>
      <c r="G8" s="1407"/>
      <c r="H8" s="1407"/>
      <c r="I8" s="1408"/>
      <c r="J8" s="1409" t="s">
        <v>912</v>
      </c>
    </row>
    <row r="9" spans="1:10" ht="84" customHeight="1">
      <c r="A9" s="1416"/>
      <c r="B9" s="980" t="s">
        <v>792</v>
      </c>
      <c r="C9" s="981" t="s">
        <v>410</v>
      </c>
      <c r="D9" s="981" t="s">
        <v>411</v>
      </c>
      <c r="E9" s="981" t="s">
        <v>404</v>
      </c>
      <c r="F9" s="982" t="s">
        <v>405</v>
      </c>
      <c r="G9" s="983" t="s">
        <v>769</v>
      </c>
      <c r="H9" s="983" t="s">
        <v>1047</v>
      </c>
      <c r="I9" s="983" t="s">
        <v>771</v>
      </c>
      <c r="J9" s="1410"/>
    </row>
    <row r="10" spans="1:10" ht="24" customHeight="1">
      <c r="A10" s="1257" t="s">
        <v>31</v>
      </c>
      <c r="B10" s="1258" t="s">
        <v>80</v>
      </c>
      <c r="C10" s="1268">
        <f>'FONDOS PROPIOS'!H11</f>
        <v>85859.5</v>
      </c>
      <c r="D10" s="1268">
        <f>SUM('Concen. de  Recursos Huma'!D20)</f>
        <v>0</v>
      </c>
      <c r="E10" s="1268"/>
      <c r="F10" s="1268"/>
      <c r="G10" s="1262">
        <f>'120 libre Administ.'!H12</f>
        <v>265317</v>
      </c>
      <c r="H10" s="1262"/>
      <c r="I10" s="1262">
        <f>'120- Libre disp, social'!H11</f>
        <v>46784</v>
      </c>
      <c r="J10" s="1262">
        <f>+SUM(C10:I10)</f>
        <v>397960.5</v>
      </c>
    </row>
    <row r="11" spans="1:10" ht="24" customHeight="1">
      <c r="A11" s="1257" t="s">
        <v>81</v>
      </c>
      <c r="B11" s="1258" t="s">
        <v>82</v>
      </c>
      <c r="C11" s="1269"/>
      <c r="D11" s="1268"/>
      <c r="E11" s="1262"/>
      <c r="F11" s="1262"/>
      <c r="G11" s="1262">
        <f>'120 libre Administ.'!H13</f>
        <v>22109.75</v>
      </c>
      <c r="H11" s="1262"/>
      <c r="I11" s="1262"/>
      <c r="J11" s="1262">
        <f t="shared" ref="J11:J74" si="0">+SUM(C11:I11)</f>
        <v>22109.75</v>
      </c>
    </row>
    <row r="12" spans="1:10" ht="24" customHeight="1">
      <c r="A12" s="1257" t="s">
        <v>83</v>
      </c>
      <c r="B12" s="1258" t="s">
        <v>84</v>
      </c>
      <c r="C12" s="1268">
        <f>'FONDOS PROPIOS'!H12</f>
        <v>91840</v>
      </c>
      <c r="D12" s="1268"/>
      <c r="E12" s="1262"/>
      <c r="F12" s="1262"/>
      <c r="G12" s="1262"/>
      <c r="H12" s="1262">
        <f>'216 FONDO DE APOYO MUNICIPAL'!H12</f>
        <v>624</v>
      </c>
      <c r="I12" s="1262"/>
      <c r="J12" s="1262">
        <f t="shared" si="0"/>
        <v>92464</v>
      </c>
    </row>
    <row r="13" spans="1:10" ht="24" customHeight="1">
      <c r="A13" s="1259">
        <v>51202</v>
      </c>
      <c r="B13" s="1260" t="s">
        <v>85</v>
      </c>
      <c r="C13" s="1262"/>
      <c r="D13" s="1262">
        <f>'FONDOS PROPIOS'!H47</f>
        <v>32685.360000000001</v>
      </c>
      <c r="E13" s="1262"/>
      <c r="F13" s="1262"/>
      <c r="G13" s="1262">
        <f>'120 libre Administ.'!H14</f>
        <v>6000</v>
      </c>
      <c r="H13" s="1262"/>
      <c r="I13" s="1262">
        <f>'120- Libre disp, social'!H12</f>
        <v>67556</v>
      </c>
      <c r="J13" s="1262">
        <f t="shared" si="0"/>
        <v>106241.36</v>
      </c>
    </row>
    <row r="14" spans="1:10" ht="24" customHeight="1">
      <c r="A14" s="1259">
        <v>51203</v>
      </c>
      <c r="B14" s="1260" t="s">
        <v>82</v>
      </c>
      <c r="C14" s="1262"/>
      <c r="D14" s="1262">
        <f>SUM('Proy. de recur.Humanos'!F88:G88)</f>
        <v>0</v>
      </c>
      <c r="E14" s="1262"/>
      <c r="F14" s="1262"/>
      <c r="G14" s="1262"/>
      <c r="H14" s="1262"/>
      <c r="I14" s="1262">
        <f>'120- Libre disp, social'!H13</f>
        <v>3882</v>
      </c>
      <c r="J14" s="1262">
        <f t="shared" si="0"/>
        <v>3882</v>
      </c>
    </row>
    <row r="15" spans="1:10" ht="23.25" customHeight="1">
      <c r="A15" s="1257" t="s">
        <v>169</v>
      </c>
      <c r="B15" s="1258" t="s">
        <v>170</v>
      </c>
      <c r="C15" s="1268">
        <f>'FONDOS PROPIOS'!H14</f>
        <v>16199.75</v>
      </c>
      <c r="D15" s="1268">
        <f>SUM('Concen. de  Recursos Huma'!D25)</f>
        <v>0</v>
      </c>
      <c r="E15" s="1268"/>
      <c r="F15" s="1268"/>
      <c r="G15" s="1262"/>
      <c r="H15" s="1262"/>
      <c r="I15" s="1262">
        <f>'120- Libre disp, social'!H14</f>
        <v>3882</v>
      </c>
      <c r="J15" s="1262">
        <f t="shared" si="0"/>
        <v>20081.75</v>
      </c>
    </row>
    <row r="16" spans="1:10" ht="16.5" hidden="1">
      <c r="A16" s="1257" t="s">
        <v>303</v>
      </c>
      <c r="B16" s="1258" t="s">
        <v>38</v>
      </c>
      <c r="C16" s="1262"/>
      <c r="D16" s="1262"/>
      <c r="E16" s="1270"/>
      <c r="F16" s="1262"/>
      <c r="G16" s="1262"/>
      <c r="H16" s="1262"/>
      <c r="I16" s="1262"/>
      <c r="J16" s="1262">
        <f t="shared" si="0"/>
        <v>0</v>
      </c>
    </row>
    <row r="17" spans="1:11" ht="16.5" hidden="1">
      <c r="A17" s="1259">
        <v>51302</v>
      </c>
      <c r="B17" s="1260" t="s">
        <v>88</v>
      </c>
      <c r="C17" s="1262"/>
      <c r="D17" s="1262"/>
      <c r="E17" s="1262"/>
      <c r="F17" s="1262"/>
      <c r="G17" s="1262"/>
      <c r="H17" s="1262"/>
      <c r="I17" s="1262"/>
      <c r="J17" s="1262">
        <f t="shared" si="0"/>
        <v>0</v>
      </c>
    </row>
    <row r="18" spans="1:11" ht="24" customHeight="1">
      <c r="A18" s="1257" t="s">
        <v>89</v>
      </c>
      <c r="B18" s="1258" t="s">
        <v>90</v>
      </c>
      <c r="C18" s="1268">
        <f>'FONDOS PROPIOS'!H15</f>
        <v>14127.807500000001</v>
      </c>
      <c r="D18" s="1268">
        <f>SUM('Concen. de  Recursos Huma'!D27)</f>
        <v>0</v>
      </c>
      <c r="E18" s="1268"/>
      <c r="F18" s="1268"/>
      <c r="G18" s="1262">
        <f>'120 libre Administ.'!H15</f>
        <v>17479.244999999999</v>
      </c>
      <c r="H18" s="1262"/>
      <c r="I18" s="1262">
        <f>'120- Libre disp, social'!H15</f>
        <v>4843.68</v>
      </c>
      <c r="J18" s="1262">
        <f t="shared" si="0"/>
        <v>36450.732499999998</v>
      </c>
    </row>
    <row r="19" spans="1:11" ht="20.25" customHeight="1">
      <c r="A19" s="1257" t="s">
        <v>91</v>
      </c>
      <c r="B19" s="1258" t="s">
        <v>92</v>
      </c>
      <c r="C19" s="1268">
        <f>'FONDOS PROPIOS'!H16</f>
        <v>13616.71125</v>
      </c>
      <c r="D19" s="1268">
        <f>SUM('Concen. de  Recursos Huma'!D28)</f>
        <v>0</v>
      </c>
      <c r="E19" s="1268"/>
      <c r="F19" s="1268"/>
      <c r="G19" s="1262">
        <f>'120 libre Administ.'!H16</f>
        <v>19632.067500000001</v>
      </c>
      <c r="H19" s="1262"/>
      <c r="I19" s="1262">
        <f>'120- Libre disp, social'!H16</f>
        <v>4613.68</v>
      </c>
      <c r="J19" s="1262">
        <f t="shared" si="0"/>
        <v>37862.458749999998</v>
      </c>
    </row>
    <row r="20" spans="1:11" ht="22.5" customHeight="1">
      <c r="A20" s="1259">
        <v>51107</v>
      </c>
      <c r="B20" s="1260" t="s">
        <v>964</v>
      </c>
      <c r="C20" s="1262"/>
      <c r="D20" s="1262"/>
      <c r="E20" s="1262"/>
      <c r="F20" s="1262"/>
      <c r="G20" s="1262"/>
      <c r="H20" s="1262"/>
      <c r="I20" s="1262">
        <f>'120- Libre disp, social'!H17</f>
        <v>4000</v>
      </c>
      <c r="J20" s="1262">
        <f t="shared" si="0"/>
        <v>4000</v>
      </c>
    </row>
    <row r="21" spans="1:11" ht="16.5" hidden="1">
      <c r="A21" s="1259">
        <v>51999</v>
      </c>
      <c r="B21" s="1260" t="s">
        <v>93</v>
      </c>
      <c r="C21" s="1262"/>
      <c r="D21" s="1262"/>
      <c r="E21" s="1262"/>
      <c r="F21" s="1262"/>
      <c r="G21" s="1262"/>
      <c r="H21" s="1262"/>
      <c r="I21" s="1262"/>
      <c r="J21" s="1262">
        <f>+SUM(C21:I21)</f>
        <v>0</v>
      </c>
      <c r="K21" s="38">
        <f>SUM(J10:J20)</f>
        <v>721052.55125000002</v>
      </c>
    </row>
    <row r="22" spans="1:11" ht="30" customHeight="1">
      <c r="A22" s="1259">
        <v>54101</v>
      </c>
      <c r="B22" s="1260" t="s">
        <v>127</v>
      </c>
      <c r="C22" s="1262">
        <f>'FONDOS PROPIOS'!H17</f>
        <v>5000</v>
      </c>
      <c r="D22" s="1262"/>
      <c r="E22" s="1262"/>
      <c r="F22" s="1262"/>
      <c r="G22" s="1262">
        <f>SUM('120 libre Administ.'!H18)</f>
        <v>2000</v>
      </c>
      <c r="H22" s="1262">
        <f>'216 FONDO DE APOYO MUNICIPAL'!H13</f>
        <v>6009.05</v>
      </c>
      <c r="I22" s="1262">
        <f>'120- Libre disp, social'!H18</f>
        <v>2215.3200000000002</v>
      </c>
      <c r="J22" s="1262">
        <f t="shared" si="0"/>
        <v>15224.369999999999</v>
      </c>
    </row>
    <row r="23" spans="1:11" ht="24" hidden="1" customHeight="1">
      <c r="A23" s="1259">
        <v>54103</v>
      </c>
      <c r="B23" s="1260" t="s">
        <v>128</v>
      </c>
      <c r="C23" s="1264" t="s">
        <v>423</v>
      </c>
      <c r="D23" s="1264"/>
      <c r="E23" s="1264"/>
      <c r="F23" s="1264"/>
      <c r="G23" s="1262"/>
      <c r="H23" s="1262"/>
      <c r="I23" s="1262">
        <f>'120- Libre disp, social'!H19</f>
        <v>0</v>
      </c>
      <c r="J23" s="1262">
        <f t="shared" si="0"/>
        <v>0</v>
      </c>
    </row>
    <row r="24" spans="1:11" ht="24" customHeight="1">
      <c r="A24" s="1259">
        <v>54104</v>
      </c>
      <c r="B24" s="1260" t="s">
        <v>129</v>
      </c>
      <c r="C24" s="1264"/>
      <c r="D24" s="1264"/>
      <c r="E24" s="1264"/>
      <c r="F24" s="1264"/>
      <c r="G24" s="1262">
        <f>SUM('120 libre Administ.'!H19)</f>
        <v>500</v>
      </c>
      <c r="H24" s="1262"/>
      <c r="I24" s="1262">
        <f>'120- Libre disp, social'!H20</f>
        <v>1500</v>
      </c>
      <c r="J24" s="1262">
        <f t="shared" si="0"/>
        <v>2000</v>
      </c>
    </row>
    <row r="25" spans="1:11" ht="24" customHeight="1">
      <c r="A25" s="1259">
        <v>54105</v>
      </c>
      <c r="B25" s="1260" t="s">
        <v>130</v>
      </c>
      <c r="C25" s="1264"/>
      <c r="D25" s="1264"/>
      <c r="E25" s="1264"/>
      <c r="F25" s="1264"/>
      <c r="G25" s="1262">
        <f>SUM('120 libre Administ.'!H20)</f>
        <v>2500</v>
      </c>
      <c r="H25" s="1262">
        <f>'216 FONDO DE APOYO MUNICIPAL'!H14</f>
        <v>150</v>
      </c>
      <c r="I25" s="1262"/>
      <c r="J25" s="1262">
        <f t="shared" si="0"/>
        <v>2650</v>
      </c>
    </row>
    <row r="26" spans="1:11" ht="24" customHeight="1">
      <c r="A26" s="1259">
        <v>54106</v>
      </c>
      <c r="B26" s="1260" t="s">
        <v>685</v>
      </c>
      <c r="C26" s="1264"/>
      <c r="D26" s="1264"/>
      <c r="E26" s="1264"/>
      <c r="F26" s="1264"/>
      <c r="G26" s="1262"/>
      <c r="H26" s="1262"/>
      <c r="I26" s="1262">
        <f>'120- Libre disp, social'!H22</f>
        <v>2000</v>
      </c>
      <c r="J26" s="1262">
        <f t="shared" si="0"/>
        <v>2000</v>
      </c>
    </row>
    <row r="27" spans="1:11" ht="24" customHeight="1">
      <c r="A27" s="1259">
        <v>54107</v>
      </c>
      <c r="B27" s="1260" t="s">
        <v>131</v>
      </c>
      <c r="C27" s="1264"/>
      <c r="D27" s="1264">
        <f>'FONDOS PROPIOS'!H50</f>
        <v>2000</v>
      </c>
      <c r="E27" s="1264"/>
      <c r="F27" s="1264"/>
      <c r="G27" s="1262">
        <f>SUM('120 libre Administ.'!H21)</f>
        <v>2250</v>
      </c>
      <c r="H27" s="1262"/>
      <c r="I27" s="1262">
        <f>'120- Libre disp, social'!H23</f>
        <v>5500</v>
      </c>
      <c r="J27" s="1262">
        <f t="shared" si="0"/>
        <v>9750</v>
      </c>
    </row>
    <row r="28" spans="1:11" ht="24" hidden="1" customHeight="1">
      <c r="A28" s="1259">
        <v>54108</v>
      </c>
      <c r="B28" s="1260" t="s">
        <v>132</v>
      </c>
      <c r="C28" s="1264"/>
      <c r="D28" s="1264"/>
      <c r="E28" s="1264"/>
      <c r="F28" s="1264"/>
      <c r="G28" s="1262"/>
      <c r="H28" s="1262"/>
      <c r="I28" s="1262"/>
      <c r="J28" s="1262">
        <f t="shared" si="0"/>
        <v>0</v>
      </c>
    </row>
    <row r="29" spans="1:11" ht="24" customHeight="1">
      <c r="A29" s="1259">
        <v>54109</v>
      </c>
      <c r="B29" s="1260" t="s">
        <v>133</v>
      </c>
      <c r="C29" s="1264"/>
      <c r="D29" s="1264"/>
      <c r="E29" s="1264"/>
      <c r="F29" s="1264"/>
      <c r="G29" s="1262">
        <f>SUM('120 libre Administ.'!H22)</f>
        <v>6000</v>
      </c>
      <c r="H29" s="1262"/>
      <c r="I29" s="1262">
        <f>'120- Libre disp, social'!H24</f>
        <v>1500</v>
      </c>
      <c r="J29" s="1262">
        <f t="shared" si="0"/>
        <v>7500</v>
      </c>
    </row>
    <row r="30" spans="1:11" ht="24" customHeight="1">
      <c r="A30" s="1259">
        <v>54110</v>
      </c>
      <c r="B30" s="1261" t="s">
        <v>134</v>
      </c>
      <c r="C30" s="1264"/>
      <c r="D30" s="1264"/>
      <c r="E30" s="1264"/>
      <c r="F30" s="1264"/>
      <c r="G30" s="1262">
        <f>SUM('120 libre Administ.'!H23)</f>
        <v>20000</v>
      </c>
      <c r="H30" s="1262">
        <f>'216 FONDO DE APOYO MUNICIPAL'!H15</f>
        <v>10000</v>
      </c>
      <c r="I30" s="1262">
        <f>'120- Libre disp, social'!H25</f>
        <v>0</v>
      </c>
      <c r="J30" s="1262">
        <f t="shared" si="0"/>
        <v>30000</v>
      </c>
    </row>
    <row r="31" spans="1:11" ht="33" customHeight="1">
      <c r="A31" s="1259">
        <v>54111</v>
      </c>
      <c r="B31" s="1260" t="s">
        <v>420</v>
      </c>
      <c r="C31" s="1264"/>
      <c r="D31" s="1264">
        <f>'FONDOS PROPIOS'!H51</f>
        <v>650</v>
      </c>
      <c r="E31" s="1264"/>
      <c r="F31" s="1264"/>
      <c r="G31" s="1262"/>
      <c r="H31" s="1262"/>
      <c r="I31" s="1262">
        <f>'120- Libre disp, social'!H26</f>
        <v>4100</v>
      </c>
      <c r="J31" s="1262">
        <f t="shared" si="0"/>
        <v>4750</v>
      </c>
    </row>
    <row r="32" spans="1:11" ht="32.25" customHeight="1">
      <c r="A32" s="1259">
        <v>54112</v>
      </c>
      <c r="B32" s="1260" t="s">
        <v>136</v>
      </c>
      <c r="C32" s="1264"/>
      <c r="D32" s="1264">
        <f>'FONDOS PROPIOS'!H52</f>
        <v>800</v>
      </c>
      <c r="E32" s="1264"/>
      <c r="F32" s="1264"/>
      <c r="G32" s="1262"/>
      <c r="H32" s="1262"/>
      <c r="I32" s="1262">
        <f>'120- Libre disp, social'!H27</f>
        <v>2100</v>
      </c>
      <c r="J32" s="1262">
        <f t="shared" si="0"/>
        <v>2900</v>
      </c>
    </row>
    <row r="33" spans="1:12" ht="24" customHeight="1">
      <c r="A33" s="1259">
        <v>54114</v>
      </c>
      <c r="B33" s="1260" t="s">
        <v>137</v>
      </c>
      <c r="C33" s="1264"/>
      <c r="D33" s="1264"/>
      <c r="E33" s="1264"/>
      <c r="F33" s="1264"/>
      <c r="G33" s="1262">
        <f>SUM('120 libre Administ.'!H26)</f>
        <v>1000</v>
      </c>
      <c r="H33" s="1262"/>
      <c r="I33" s="1262">
        <f>SUM('120- Libre disp, social'!H28)</f>
        <v>0</v>
      </c>
      <c r="J33" s="1262">
        <f t="shared" si="0"/>
        <v>1000</v>
      </c>
      <c r="L33" t="s">
        <v>423</v>
      </c>
    </row>
    <row r="34" spans="1:12" ht="24" customHeight="1">
      <c r="A34" s="1259">
        <v>54115</v>
      </c>
      <c r="B34" s="1260" t="s">
        <v>138</v>
      </c>
      <c r="C34" s="1264"/>
      <c r="D34" s="1264"/>
      <c r="E34" s="1264"/>
      <c r="F34" s="1264"/>
      <c r="G34" s="1262">
        <f>SUM('120 libre Administ.'!H27)</f>
        <v>1100</v>
      </c>
      <c r="H34" s="1262"/>
      <c r="I34" s="1262">
        <f>SUM('120- Libre disp, social'!H29)</f>
        <v>0</v>
      </c>
      <c r="J34" s="1262">
        <f t="shared" si="0"/>
        <v>1100</v>
      </c>
    </row>
    <row r="35" spans="1:12" ht="32.25" customHeight="1">
      <c r="A35" s="1259">
        <v>54117</v>
      </c>
      <c r="B35" s="1260" t="s">
        <v>139</v>
      </c>
      <c r="C35" s="1264"/>
      <c r="D35" s="1264"/>
      <c r="E35" s="1264"/>
      <c r="F35" s="1264"/>
      <c r="G35" s="1262"/>
      <c r="H35" s="1262"/>
      <c r="I35" s="1262">
        <f>'120- Libre disp, social'!H30</f>
        <v>1966.1</v>
      </c>
      <c r="J35" s="1262">
        <f t="shared" si="0"/>
        <v>1966.1</v>
      </c>
    </row>
    <row r="36" spans="1:12" ht="30.75" customHeight="1">
      <c r="A36" s="1259">
        <v>54118</v>
      </c>
      <c r="B36" s="1260" t="s">
        <v>140</v>
      </c>
      <c r="C36" s="1264"/>
      <c r="D36" s="1264">
        <f>'FONDOS PROPIOS'!H53</f>
        <v>1500</v>
      </c>
      <c r="E36" s="1264"/>
      <c r="F36" s="1264"/>
      <c r="G36" s="1262">
        <f>SUM('120 libre Administ.'!H28)</f>
        <v>300</v>
      </c>
      <c r="H36" s="1262"/>
      <c r="I36" s="1262">
        <f>'120- Libre disp, social'!H31</f>
        <v>1600</v>
      </c>
      <c r="J36" s="1262">
        <f t="shared" si="0"/>
        <v>3400</v>
      </c>
    </row>
    <row r="37" spans="1:12" ht="24" customHeight="1">
      <c r="A37" s="1259">
        <v>54119</v>
      </c>
      <c r="B37" s="1260" t="s">
        <v>141</v>
      </c>
      <c r="C37" s="1264"/>
      <c r="D37" s="1264">
        <f>'FONDOS PROPIOS'!H54</f>
        <v>1000</v>
      </c>
      <c r="E37" s="1264"/>
      <c r="F37" s="1264"/>
      <c r="G37" s="1262">
        <f>SUM('120 libre Administ.'!H29)</f>
        <v>1000</v>
      </c>
      <c r="H37" s="1262">
        <f>'216 FONDO DE APOYO MUNICIPAL'!H16</f>
        <v>7000</v>
      </c>
      <c r="I37" s="1262">
        <f>SUM('120- Libre disp, social'!H32)</f>
        <v>0</v>
      </c>
      <c r="J37" s="1262">
        <f t="shared" si="0"/>
        <v>9000</v>
      </c>
    </row>
    <row r="38" spans="1:12" ht="24" customHeight="1">
      <c r="A38" s="1259">
        <v>54121</v>
      </c>
      <c r="B38" s="1260" t="s">
        <v>142</v>
      </c>
      <c r="C38" s="1264"/>
      <c r="D38" s="1264"/>
      <c r="E38" s="1264"/>
      <c r="F38" s="1264"/>
      <c r="G38" s="1262">
        <f>SUM('120 libre Administ.'!H30)</f>
        <v>2000</v>
      </c>
      <c r="H38" s="1262"/>
      <c r="I38" s="1262"/>
      <c r="J38" s="1262">
        <f t="shared" si="0"/>
        <v>2000</v>
      </c>
    </row>
    <row r="39" spans="1:12" ht="31.5" customHeight="1">
      <c r="A39" s="1259">
        <v>54199</v>
      </c>
      <c r="B39" s="1260" t="s">
        <v>389</v>
      </c>
      <c r="C39" s="1264">
        <f>'FONDOS PROPIOS'!H19</f>
        <v>3000</v>
      </c>
      <c r="D39" s="1264">
        <f>'FONDOS PROPIOS'!H55</f>
        <v>1000</v>
      </c>
      <c r="E39" s="1264"/>
      <c r="F39" s="1264"/>
      <c r="G39" s="1262">
        <f>SUM('120 libre Administ.'!H31)</f>
        <v>7500</v>
      </c>
      <c r="H39" s="1262">
        <f>'216 FONDO DE APOYO MUNICIPAL'!H17</f>
        <v>400</v>
      </c>
      <c r="I39" s="1262">
        <f>'120- Libre disp, social'!H33</f>
        <v>2470</v>
      </c>
      <c r="J39" s="1262">
        <f t="shared" si="0"/>
        <v>14370</v>
      </c>
    </row>
    <row r="40" spans="1:12" ht="24" customHeight="1">
      <c r="A40" s="1259">
        <v>54201</v>
      </c>
      <c r="B40" s="1260" t="s">
        <v>144</v>
      </c>
      <c r="C40" s="1264">
        <f>'FONDOS PROPIOS'!H20</f>
        <v>4000</v>
      </c>
      <c r="D40" s="1264">
        <f>'FONDOS PROPIOS'!H56</f>
        <v>2400</v>
      </c>
      <c r="E40" s="1264"/>
      <c r="F40" s="1264"/>
      <c r="G40" s="1262">
        <f>SUM('120 libre Administ.'!H32)</f>
        <v>5000</v>
      </c>
      <c r="H40" s="1262">
        <f>'216 FONDO DE APOYO MUNICIPAL'!H18</f>
        <v>90200</v>
      </c>
      <c r="I40" s="1262">
        <f>'120- Libre disp, social'!H34</f>
        <v>276</v>
      </c>
      <c r="J40" s="1262">
        <f t="shared" si="0"/>
        <v>101876</v>
      </c>
    </row>
    <row r="41" spans="1:12" ht="24" customHeight="1">
      <c r="A41" s="1259">
        <v>54202</v>
      </c>
      <c r="B41" s="1260" t="s">
        <v>145</v>
      </c>
      <c r="C41" s="1264">
        <f>'FONDOS PROPIOS'!H21</f>
        <v>300</v>
      </c>
      <c r="D41" s="1264">
        <f>'FONDOS PROPIOS'!H57</f>
        <v>900</v>
      </c>
      <c r="E41" s="1264"/>
      <c r="F41" s="1264"/>
      <c r="G41" s="1262">
        <f>SUM('120 libre Administ.'!H33)</f>
        <v>2000</v>
      </c>
      <c r="H41" s="1262">
        <f>'216 FONDO DE APOYO MUNICIPAL'!H19</f>
        <v>8000</v>
      </c>
      <c r="I41" s="1262">
        <f>'120- Libre disp, social'!H35</f>
        <v>2160</v>
      </c>
      <c r="J41" s="1262">
        <f t="shared" si="0"/>
        <v>13360</v>
      </c>
    </row>
    <row r="42" spans="1:12" ht="24" customHeight="1">
      <c r="A42" s="1259">
        <v>54203</v>
      </c>
      <c r="B42" s="1260" t="s">
        <v>146</v>
      </c>
      <c r="C42" s="1264">
        <f>'FONDOS PROPIOS'!H22</f>
        <v>270</v>
      </c>
      <c r="D42" s="1264"/>
      <c r="E42" s="1264"/>
      <c r="F42" s="1264"/>
      <c r="G42" s="1262">
        <f>SUM('120 libre Administ.'!H34)</f>
        <v>7000</v>
      </c>
      <c r="H42" s="1262">
        <f>'216 FONDO DE APOYO MUNICIPAL'!H20</f>
        <v>19500</v>
      </c>
      <c r="I42" s="1262">
        <f>SUM('120- Libre disp, social'!H36)</f>
        <v>4600</v>
      </c>
      <c r="J42" s="1262">
        <f t="shared" si="0"/>
        <v>31370</v>
      </c>
    </row>
    <row r="43" spans="1:12" ht="24" hidden="1" customHeight="1">
      <c r="A43" s="1259">
        <v>54204</v>
      </c>
      <c r="B43" s="1260" t="s">
        <v>147</v>
      </c>
      <c r="C43" s="1264"/>
      <c r="D43" s="1264"/>
      <c r="E43" s="1264"/>
      <c r="F43" s="1264"/>
      <c r="G43" s="1262"/>
      <c r="H43" s="1262"/>
      <c r="I43" s="1262"/>
      <c r="J43" s="1262">
        <f t="shared" si="0"/>
        <v>0</v>
      </c>
      <c r="L43" s="201"/>
    </row>
    <row r="44" spans="1:12" ht="24" hidden="1" customHeight="1">
      <c r="A44" s="1259">
        <v>54205</v>
      </c>
      <c r="B44" s="1260" t="s">
        <v>148</v>
      </c>
      <c r="C44" s="1264"/>
      <c r="D44" s="1264"/>
      <c r="E44" s="1264"/>
      <c r="F44" s="1264"/>
      <c r="G44" s="1262"/>
      <c r="H44" s="1262"/>
      <c r="I44" s="1262">
        <f>'120- Libre disp, social'!H37</f>
        <v>0</v>
      </c>
      <c r="J44" s="1262">
        <f t="shared" si="0"/>
        <v>0</v>
      </c>
    </row>
    <row r="45" spans="1:12" ht="34.5" customHeight="1">
      <c r="A45" s="1259">
        <v>54301</v>
      </c>
      <c r="B45" s="1260" t="s">
        <v>149</v>
      </c>
      <c r="C45" s="1264">
        <f>'FONDOS PROPIOS'!H23</f>
        <v>4000</v>
      </c>
      <c r="D45" s="1264"/>
      <c r="E45" s="1264"/>
      <c r="F45" s="1264"/>
      <c r="G45" s="1262">
        <f>SUM('120 libre Administ.'!H35)</f>
        <v>3500</v>
      </c>
      <c r="H45" s="1262"/>
      <c r="I45" s="1262"/>
      <c r="J45" s="1262">
        <f t="shared" si="0"/>
        <v>7500</v>
      </c>
    </row>
    <row r="46" spans="1:12" ht="26.25" customHeight="1">
      <c r="A46" s="1259">
        <v>54302</v>
      </c>
      <c r="B46" s="1260" t="s">
        <v>150</v>
      </c>
      <c r="C46" s="1264"/>
      <c r="D46" s="1264"/>
      <c r="E46" s="1264"/>
      <c r="F46" s="1264"/>
      <c r="G46" s="1262">
        <f>SUM('120 libre Administ.'!H36)</f>
        <v>12000</v>
      </c>
      <c r="H46" s="1262">
        <f>'216 FONDO DE APOYO MUNICIPAL'!H21</f>
        <v>6000</v>
      </c>
      <c r="I46" s="1262">
        <f>'120- Libre disp, social'!H38</f>
        <v>0</v>
      </c>
      <c r="J46" s="1262">
        <f t="shared" si="0"/>
        <v>18000</v>
      </c>
    </row>
    <row r="47" spans="1:12" ht="36.75" customHeight="1">
      <c r="A47" s="1259">
        <v>54303</v>
      </c>
      <c r="B47" s="1260" t="s">
        <v>151</v>
      </c>
      <c r="C47" s="1264"/>
      <c r="D47" s="1264">
        <f>'FONDOS PROPIOS'!H58</f>
        <v>6000</v>
      </c>
      <c r="E47" s="1264"/>
      <c r="F47" s="1264"/>
      <c r="G47" s="1262">
        <f>SUM('120 libre Administ.'!H37)+564.73</f>
        <v>1564.73</v>
      </c>
      <c r="H47" s="1262">
        <f>'216 FONDO DE APOYO MUNICIPAL'!H22</f>
        <v>1000</v>
      </c>
      <c r="I47" s="1262">
        <f>'120- Libre disp, social'!H39</f>
        <v>0</v>
      </c>
      <c r="J47" s="1262">
        <f t="shared" si="0"/>
        <v>8564.73</v>
      </c>
    </row>
    <row r="48" spans="1:12" ht="33.75" customHeight="1">
      <c r="A48" s="1259">
        <v>54304</v>
      </c>
      <c r="B48" s="1261" t="s">
        <v>152</v>
      </c>
      <c r="C48" s="1264">
        <f>'FONDOS PROPIOS'!H25</f>
        <v>5600</v>
      </c>
      <c r="D48" s="1264"/>
      <c r="E48" s="1264"/>
      <c r="F48" s="1264"/>
      <c r="G48" s="1262">
        <f>SUM('120 libre Administ.'!H38)</f>
        <v>2000</v>
      </c>
      <c r="H48" s="1262">
        <f>'216 FONDO DE APOYO MUNICIPAL'!H23</f>
        <v>800</v>
      </c>
      <c r="I48" s="1262">
        <f>'120- Libre disp, social'!H40</f>
        <v>6150</v>
      </c>
      <c r="J48" s="1262">
        <f t="shared" si="0"/>
        <v>14550</v>
      </c>
    </row>
    <row r="49" spans="1:10" ht="24" customHeight="1">
      <c r="A49" s="1259">
        <v>54305</v>
      </c>
      <c r="B49" s="1260" t="s">
        <v>153</v>
      </c>
      <c r="C49" s="1264"/>
      <c r="D49" s="1264"/>
      <c r="E49" s="1264"/>
      <c r="F49" s="1264"/>
      <c r="G49" s="1262">
        <f>SUM('120 libre Administ.'!H39)</f>
        <v>100</v>
      </c>
      <c r="H49" s="1262"/>
      <c r="I49" s="1262"/>
      <c r="J49" s="1262">
        <f t="shared" si="0"/>
        <v>100</v>
      </c>
    </row>
    <row r="50" spans="1:10" ht="33.75" customHeight="1">
      <c r="A50" s="1259">
        <v>54313</v>
      </c>
      <c r="B50" s="1260" t="s">
        <v>154</v>
      </c>
      <c r="C50" s="1264"/>
      <c r="D50" s="1264"/>
      <c r="E50" s="1264"/>
      <c r="F50" s="1264"/>
      <c r="G50" s="1262">
        <f>SUM('120 libre Administ.'!H40)</f>
        <v>2500</v>
      </c>
      <c r="H50" s="1262"/>
      <c r="I50" s="1262">
        <f>'120- Libre disp, social'!H42</f>
        <v>0</v>
      </c>
      <c r="J50" s="1262">
        <f t="shared" si="0"/>
        <v>2500</v>
      </c>
    </row>
    <row r="51" spans="1:10" ht="24" customHeight="1">
      <c r="A51" s="1259">
        <v>54314</v>
      </c>
      <c r="B51" s="1260" t="s">
        <v>155</v>
      </c>
      <c r="C51" s="1264">
        <f>'FONDOS PROPIOS'!H26</f>
        <v>500</v>
      </c>
      <c r="D51" s="1264"/>
      <c r="E51" s="1264"/>
      <c r="F51" s="1264"/>
      <c r="G51" s="1262">
        <f>SUM('120 libre Administ.'!H41)</f>
        <v>350</v>
      </c>
      <c r="H51" s="1262"/>
      <c r="I51" s="1262"/>
      <c r="J51" s="1262">
        <f t="shared" si="0"/>
        <v>850</v>
      </c>
    </row>
    <row r="52" spans="1:10" ht="24" customHeight="1">
      <c r="A52" s="1259">
        <v>54316</v>
      </c>
      <c r="B52" s="1261" t="s">
        <v>156</v>
      </c>
      <c r="C52" s="1264"/>
      <c r="D52" s="1264">
        <f>'FONDOS PROPIOS'!H59</f>
        <v>8000</v>
      </c>
      <c r="E52" s="1264"/>
      <c r="F52" s="1264"/>
      <c r="G52" s="1262"/>
      <c r="H52" s="1262"/>
      <c r="I52" s="1262">
        <f>'120- Libre disp, social'!H43</f>
        <v>5000</v>
      </c>
      <c r="J52" s="1262">
        <f t="shared" si="0"/>
        <v>13000</v>
      </c>
    </row>
    <row r="53" spans="1:10" ht="24" hidden="1" customHeight="1">
      <c r="A53" s="1259">
        <v>54317</v>
      </c>
      <c r="B53" s="1261" t="s">
        <v>157</v>
      </c>
      <c r="C53" s="1264"/>
      <c r="D53" s="1264"/>
      <c r="E53" s="1264"/>
      <c r="F53" s="1264"/>
      <c r="G53" s="1262"/>
      <c r="H53" s="1262"/>
      <c r="I53" s="1262">
        <f>'120- Libre disp, social'!H44</f>
        <v>0</v>
      </c>
      <c r="J53" s="1262">
        <f t="shared" si="0"/>
        <v>0</v>
      </c>
    </row>
    <row r="54" spans="1:10" ht="24" customHeight="1">
      <c r="A54" s="1259">
        <v>54399</v>
      </c>
      <c r="B54" s="1260" t="s">
        <v>158</v>
      </c>
      <c r="C54" s="1264"/>
      <c r="D54" s="1264"/>
      <c r="E54" s="1264"/>
      <c r="F54" s="1264"/>
      <c r="G54" s="1262"/>
      <c r="H54" s="1262">
        <f>'216 FONDO DE APOYO MUNICIPAL'!H24</f>
        <v>36000</v>
      </c>
      <c r="I54" s="1262">
        <f>SUM('120- Libre disp, social'!H45)</f>
        <v>0</v>
      </c>
      <c r="J54" s="1262">
        <f t="shared" si="0"/>
        <v>36000</v>
      </c>
    </row>
    <row r="55" spans="1:10" ht="24" hidden="1" customHeight="1">
      <c r="A55" s="1259">
        <v>54401</v>
      </c>
      <c r="B55" s="1260" t="s">
        <v>94</v>
      </c>
      <c r="C55" s="1264"/>
      <c r="D55" s="1264"/>
      <c r="E55" s="1264"/>
      <c r="F55" s="1264"/>
      <c r="G55" s="1262">
        <f>SUM('120 libre Administ.'!H42)</f>
        <v>0</v>
      </c>
      <c r="H55" s="1262"/>
      <c r="I55" s="1262"/>
      <c r="J55" s="1262">
        <f t="shared" si="0"/>
        <v>0</v>
      </c>
    </row>
    <row r="56" spans="1:10" ht="24" customHeight="1">
      <c r="A56" s="1259">
        <v>54403</v>
      </c>
      <c r="B56" s="1260" t="s">
        <v>95</v>
      </c>
      <c r="C56" s="1264"/>
      <c r="D56" s="1264"/>
      <c r="E56" s="1264"/>
      <c r="F56" s="1264"/>
      <c r="G56" s="1262">
        <f>SUM('120 libre Administ.'!H43)</f>
        <v>1350</v>
      </c>
      <c r="H56" s="1262"/>
      <c r="I56" s="1262">
        <f>SUM('120- Libre disp, social'!H46)</f>
        <v>0</v>
      </c>
      <c r="J56" s="1262">
        <f t="shared" si="0"/>
        <v>1350</v>
      </c>
    </row>
    <row r="57" spans="1:10" ht="24" hidden="1" customHeight="1">
      <c r="A57" s="1259">
        <v>54404</v>
      </c>
      <c r="B57" s="1260" t="s">
        <v>175</v>
      </c>
      <c r="C57" s="1264"/>
      <c r="D57" s="1264"/>
      <c r="E57" s="1264"/>
      <c r="F57" s="1264"/>
      <c r="G57" s="1262"/>
      <c r="H57" s="1262"/>
      <c r="I57" s="1262"/>
      <c r="J57" s="1262">
        <f t="shared" si="0"/>
        <v>0</v>
      </c>
    </row>
    <row r="58" spans="1:10" ht="24" hidden="1" customHeight="1">
      <c r="A58" s="1259">
        <v>54503</v>
      </c>
      <c r="B58" s="1260" t="s">
        <v>96</v>
      </c>
      <c r="C58" s="1264"/>
      <c r="D58" s="1264"/>
      <c r="E58" s="1264"/>
      <c r="F58" s="1264"/>
      <c r="G58" s="1262">
        <f>SUM('120 libre Administ.'!H44)</f>
        <v>0</v>
      </c>
      <c r="H58" s="1262"/>
      <c r="I58" s="1262"/>
      <c r="J58" s="1262">
        <f t="shared" si="0"/>
        <v>0</v>
      </c>
    </row>
    <row r="59" spans="1:10" ht="31.5" customHeight="1">
      <c r="A59" s="1259">
        <v>54504</v>
      </c>
      <c r="B59" s="1261" t="s">
        <v>168</v>
      </c>
      <c r="C59" s="1264"/>
      <c r="D59" s="1264"/>
      <c r="E59" s="1264"/>
      <c r="F59" s="1264"/>
      <c r="G59" s="1262">
        <f>SUM('120 libre Administ.'!H45)</f>
        <v>300</v>
      </c>
      <c r="H59" s="1262"/>
      <c r="I59" s="1262"/>
      <c r="J59" s="1262">
        <f t="shared" si="0"/>
        <v>300</v>
      </c>
    </row>
    <row r="60" spans="1:10" ht="24" hidden="1" customHeight="1">
      <c r="A60" s="1259">
        <v>54505</v>
      </c>
      <c r="B60" s="1260" t="s">
        <v>416</v>
      </c>
      <c r="C60" s="1264"/>
      <c r="D60" s="1264"/>
      <c r="E60" s="1264"/>
      <c r="F60" s="1264"/>
      <c r="G60" s="1262">
        <f>SUM('120 libre Administ.'!H46)</f>
        <v>0</v>
      </c>
      <c r="H60" s="1262"/>
      <c r="I60" s="1262">
        <f>SUM('120- Libre disp, social'!H47)</f>
        <v>0</v>
      </c>
      <c r="J60" s="1262">
        <f t="shared" si="0"/>
        <v>0</v>
      </c>
    </row>
    <row r="61" spans="1:10" ht="24" customHeight="1">
      <c r="A61" s="1259">
        <v>54507</v>
      </c>
      <c r="B61" s="1260" t="s">
        <v>399</v>
      </c>
      <c r="C61" s="1264"/>
      <c r="D61" s="1264"/>
      <c r="E61" s="1264"/>
      <c r="F61" s="1264"/>
      <c r="G61" s="1262">
        <f>SUM('120 libre Administ.'!H47)</f>
        <v>500</v>
      </c>
      <c r="H61" s="1262"/>
      <c r="I61" s="1262"/>
      <c r="J61" s="1262">
        <f t="shared" si="0"/>
        <v>500</v>
      </c>
    </row>
    <row r="62" spans="1:10" ht="33" customHeight="1">
      <c r="A62" s="1259">
        <v>54599</v>
      </c>
      <c r="B62" s="1260" t="s">
        <v>97</v>
      </c>
      <c r="C62" s="1264"/>
      <c r="D62" s="1264">
        <f>'FONDOS PROPIOS'!H61</f>
        <v>4500</v>
      </c>
      <c r="E62" s="1264"/>
      <c r="F62" s="1264"/>
      <c r="G62" s="1262"/>
      <c r="H62" s="1262"/>
      <c r="I62" s="1262">
        <f>'120- Libre disp, social'!H48</f>
        <v>15000</v>
      </c>
      <c r="J62" s="1262">
        <f t="shared" si="0"/>
        <v>19500</v>
      </c>
    </row>
    <row r="63" spans="1:10" ht="24" hidden="1" customHeight="1">
      <c r="A63" s="1259">
        <v>54601</v>
      </c>
      <c r="B63" s="1260" t="s">
        <v>823</v>
      </c>
      <c r="C63" s="1264"/>
      <c r="D63" s="1264"/>
      <c r="E63" s="1264"/>
      <c r="F63" s="1264"/>
      <c r="G63" s="1262"/>
      <c r="H63" s="1262"/>
      <c r="I63" s="1262"/>
      <c r="J63" s="1262">
        <f t="shared" si="0"/>
        <v>0</v>
      </c>
    </row>
    <row r="64" spans="1:10" ht="24" hidden="1" customHeight="1">
      <c r="A64" s="1259">
        <v>54602</v>
      </c>
      <c r="B64" s="1260" t="s">
        <v>99</v>
      </c>
      <c r="C64" s="1264"/>
      <c r="D64" s="1264"/>
      <c r="E64" s="1264"/>
      <c r="F64" s="1264"/>
      <c r="G64" s="1262"/>
      <c r="H64" s="1262"/>
      <c r="I64" s="1262"/>
      <c r="J64" s="1262">
        <f t="shared" si="0"/>
        <v>0</v>
      </c>
    </row>
    <row r="65" spans="1:11" ht="24" hidden="1" customHeight="1">
      <c r="A65" s="1259">
        <v>54603</v>
      </c>
      <c r="B65" s="1260" t="s">
        <v>100</v>
      </c>
      <c r="C65" s="1264"/>
      <c r="D65" s="1264"/>
      <c r="E65" s="1264"/>
      <c r="F65" s="1264"/>
      <c r="G65" s="1262"/>
      <c r="H65" s="1262"/>
      <c r="I65" s="1262"/>
      <c r="J65" s="1262">
        <f t="shared" si="0"/>
        <v>0</v>
      </c>
    </row>
    <row r="66" spans="1:11" ht="16.5" hidden="1">
      <c r="A66" s="1259">
        <v>54699</v>
      </c>
      <c r="B66" s="1260" t="s">
        <v>101</v>
      </c>
      <c r="C66" s="1264"/>
      <c r="D66" s="1264"/>
      <c r="E66" s="1264"/>
      <c r="F66" s="1264"/>
      <c r="G66" s="1262"/>
      <c r="H66" s="1262"/>
      <c r="I66" s="1262"/>
      <c r="J66" s="1262">
        <f t="shared" si="0"/>
        <v>0</v>
      </c>
      <c r="K66" s="38">
        <f>SUM(J22:J66)</f>
        <v>378931.19999999995</v>
      </c>
    </row>
    <row r="67" spans="1:11" ht="49.5" hidden="1">
      <c r="A67" s="1259">
        <v>55302</v>
      </c>
      <c r="B67" s="1261" t="s">
        <v>102</v>
      </c>
      <c r="C67" s="1264"/>
      <c r="D67" s="1264"/>
      <c r="E67" s="1264"/>
      <c r="F67" s="1264"/>
      <c r="G67" s="1262"/>
      <c r="H67" s="1262"/>
      <c r="I67" s="1262"/>
      <c r="J67" s="1262">
        <f t="shared" si="0"/>
        <v>0</v>
      </c>
    </row>
    <row r="68" spans="1:11" ht="0.75" customHeight="1">
      <c r="A68" s="1259">
        <v>55304</v>
      </c>
      <c r="B68" s="1261" t="s">
        <v>178</v>
      </c>
      <c r="C68" s="1264"/>
      <c r="D68" s="1264"/>
      <c r="E68" s="1264"/>
      <c r="F68" s="1264"/>
      <c r="G68" s="1262"/>
      <c r="H68" s="1262"/>
      <c r="I68" s="1262"/>
      <c r="J68" s="1262">
        <f t="shared" si="0"/>
        <v>0</v>
      </c>
    </row>
    <row r="69" spans="1:11" ht="31.5" customHeight="1">
      <c r="A69" s="1259">
        <v>55599</v>
      </c>
      <c r="B69" s="1261" t="s">
        <v>605</v>
      </c>
      <c r="C69" s="1264"/>
      <c r="D69" s="1264"/>
      <c r="E69" s="1264"/>
      <c r="F69" s="1264"/>
      <c r="G69" s="1262">
        <f>SUM('120 libre Administ.'!H48)</f>
        <v>200</v>
      </c>
      <c r="H69" s="1262"/>
      <c r="I69" s="1262"/>
      <c r="J69" s="1262">
        <f t="shared" si="0"/>
        <v>200</v>
      </c>
    </row>
    <row r="70" spans="1:11" ht="24" hidden="1" customHeight="1">
      <c r="A70" s="1259">
        <v>55601</v>
      </c>
      <c r="B70" s="1260" t="s">
        <v>176</v>
      </c>
      <c r="C70" s="1264"/>
      <c r="D70" s="1264"/>
      <c r="E70" s="1264"/>
      <c r="F70" s="1264"/>
      <c r="G70" s="1262"/>
      <c r="H70" s="1262"/>
      <c r="I70" s="1262"/>
      <c r="J70" s="1262">
        <f t="shared" si="0"/>
        <v>0</v>
      </c>
    </row>
    <row r="71" spans="1:11" ht="33" hidden="1">
      <c r="A71" s="1259">
        <v>55602</v>
      </c>
      <c r="B71" s="1260" t="s">
        <v>103</v>
      </c>
      <c r="C71" s="1264"/>
      <c r="D71" s="1264"/>
      <c r="E71" s="1264"/>
      <c r="F71" s="1264"/>
      <c r="G71" s="1262"/>
      <c r="H71" s="1262"/>
      <c r="I71" s="1262"/>
      <c r="J71" s="1262">
        <f t="shared" si="0"/>
        <v>0</v>
      </c>
    </row>
    <row r="72" spans="1:11" ht="18.75" customHeight="1">
      <c r="A72" s="1259">
        <v>55603</v>
      </c>
      <c r="B72" s="1260" t="s">
        <v>104</v>
      </c>
      <c r="C72" s="1264">
        <f>'FONDOS PROPIOS'!H30</f>
        <v>500</v>
      </c>
      <c r="D72" s="1264"/>
      <c r="E72" s="1264"/>
      <c r="F72" s="1264"/>
      <c r="G72" s="1262">
        <f>SUM('120 libre Administ.'!H49)</f>
        <v>450</v>
      </c>
      <c r="H72" s="1262">
        <f>'216 FONDO DE APOYO MUNICIPAL'!H25</f>
        <v>347.19</v>
      </c>
      <c r="I72" s="1262">
        <f>'120- Libre disp, social'!H50</f>
        <v>1503.9</v>
      </c>
      <c r="J72" s="1262">
        <f t="shared" si="0"/>
        <v>2801.09</v>
      </c>
    </row>
    <row r="73" spans="1:11" ht="16.5" hidden="1">
      <c r="A73" s="1259">
        <v>55799</v>
      </c>
      <c r="B73" s="1260" t="s">
        <v>105</v>
      </c>
      <c r="C73" s="1264"/>
      <c r="D73" s="1264"/>
      <c r="E73" s="1264"/>
      <c r="F73" s="1264"/>
      <c r="G73" s="1262"/>
      <c r="H73" s="1262"/>
      <c r="I73" s="1262"/>
      <c r="J73" s="1262">
        <f t="shared" si="0"/>
        <v>0</v>
      </c>
      <c r="K73" s="38">
        <f>SUM(J67:J73)</f>
        <v>3001.09</v>
      </c>
    </row>
    <row r="74" spans="1:11" ht="33" hidden="1">
      <c r="A74" s="1259">
        <v>56201</v>
      </c>
      <c r="B74" s="1261" t="s">
        <v>107</v>
      </c>
      <c r="C74" s="1264"/>
      <c r="D74" s="1264"/>
      <c r="E74" s="1264"/>
      <c r="F74" s="1264"/>
      <c r="G74" s="1262">
        <f>SUM('120 libre Administ.'!H50)</f>
        <v>0</v>
      </c>
      <c r="H74" s="1262"/>
      <c r="I74" s="1262"/>
      <c r="J74" s="1262">
        <f t="shared" si="0"/>
        <v>0</v>
      </c>
    </row>
    <row r="75" spans="1:11" ht="17.25" customHeight="1">
      <c r="A75" s="1259">
        <v>56303</v>
      </c>
      <c r="B75" s="1260" t="s">
        <v>108</v>
      </c>
      <c r="C75" s="1264"/>
      <c r="D75" s="1264">
        <f>'FONDOS PROPIOS'!H60</f>
        <v>1200</v>
      </c>
      <c r="E75" s="1264"/>
      <c r="F75" s="1264"/>
      <c r="G75" s="1262"/>
      <c r="H75" s="1262"/>
      <c r="I75" s="1262"/>
      <c r="J75" s="1262">
        <f t="shared" ref="J75:J97" si="1">+SUM(C75:I75)</f>
        <v>1200</v>
      </c>
    </row>
    <row r="76" spans="1:11" ht="24" customHeight="1">
      <c r="A76" s="1259">
        <v>56304</v>
      </c>
      <c r="B76" s="1260" t="s">
        <v>109</v>
      </c>
      <c r="C76" s="1264">
        <f>'FONDOS PROPIOS'!H31</f>
        <v>15747.89</v>
      </c>
      <c r="D76" s="1264"/>
      <c r="E76" s="1264"/>
      <c r="F76" s="1264"/>
      <c r="G76" s="1262">
        <f>SUM('120 libre Administ.'!H51)</f>
        <v>900</v>
      </c>
      <c r="H76" s="1262">
        <f>'216 FONDO DE APOYO MUNICIPAL'!H26</f>
        <v>10984.21</v>
      </c>
      <c r="I76" s="1262">
        <v>0</v>
      </c>
      <c r="J76" s="1262">
        <f t="shared" si="1"/>
        <v>27632.1</v>
      </c>
    </row>
    <row r="77" spans="1:11" ht="24" customHeight="1">
      <c r="A77" s="1259">
        <v>56305</v>
      </c>
      <c r="B77" s="1260" t="s">
        <v>110</v>
      </c>
      <c r="C77" s="1264"/>
      <c r="D77" s="1264"/>
      <c r="E77" s="1264"/>
      <c r="F77" s="1264"/>
      <c r="G77" s="1262"/>
      <c r="H77" s="1262">
        <f>'216 FONDO DE APOYO MUNICIPAL'!H27</f>
        <v>49929.66</v>
      </c>
      <c r="I77" s="1262"/>
      <c r="J77" s="1262">
        <f t="shared" si="1"/>
        <v>49929.66</v>
      </c>
      <c r="K77" s="38">
        <f>SUM(J74:J77)</f>
        <v>78761.760000000009</v>
      </c>
    </row>
    <row r="78" spans="1:11" ht="24" customHeight="1">
      <c r="A78" s="1259">
        <v>61101</v>
      </c>
      <c r="B78" s="1260" t="s">
        <v>177</v>
      </c>
      <c r="C78" s="1264"/>
      <c r="D78" s="1264"/>
      <c r="E78" s="1264"/>
      <c r="F78" s="1264"/>
      <c r="G78" s="1262">
        <f>SUM('120 libre Administ.'!H52)</f>
        <v>1000</v>
      </c>
      <c r="H78" s="1262"/>
      <c r="I78" s="1262"/>
      <c r="J78" s="1262">
        <f t="shared" si="1"/>
        <v>1000</v>
      </c>
    </row>
    <row r="79" spans="1:11" ht="24" customHeight="1">
      <c r="A79" s="1259">
        <v>61102</v>
      </c>
      <c r="B79" s="1260" t="s">
        <v>162</v>
      </c>
      <c r="C79" s="1264"/>
      <c r="D79" s="1264"/>
      <c r="E79" s="1264"/>
      <c r="F79" s="1264"/>
      <c r="G79" s="1262">
        <f>SUM('120 libre Administ.'!H53)</f>
        <v>500</v>
      </c>
      <c r="H79" s="1262"/>
      <c r="I79" s="1262"/>
      <c r="J79" s="1262">
        <f t="shared" si="1"/>
        <v>500</v>
      </c>
    </row>
    <row r="80" spans="1:11" ht="24" hidden="1" customHeight="1">
      <c r="A80" s="1257" t="s">
        <v>111</v>
      </c>
      <c r="B80" s="1258" t="s">
        <v>112</v>
      </c>
      <c r="C80" s="1264"/>
      <c r="D80" s="1264"/>
      <c r="E80" s="1264"/>
      <c r="F80" s="1264"/>
      <c r="G80" s="1262">
        <f>SUM('120 libre Administ.'!H54)</f>
        <v>0</v>
      </c>
      <c r="H80" s="1262"/>
      <c r="I80" s="1262">
        <f>SUM('120- Libre disp, social'!H51)</f>
        <v>0</v>
      </c>
      <c r="J80" s="1262">
        <f t="shared" si="1"/>
        <v>0</v>
      </c>
    </row>
    <row r="81" spans="1:12" ht="32.25" customHeight="1">
      <c r="A81" s="1257" t="s">
        <v>770</v>
      </c>
      <c r="B81" s="1258" t="s">
        <v>767</v>
      </c>
      <c r="C81" s="1264"/>
      <c r="D81" s="1264"/>
      <c r="E81" s="1264"/>
      <c r="F81" s="1264"/>
      <c r="G81" s="1262"/>
      <c r="H81" s="1262"/>
      <c r="I81" s="1262">
        <f>'120- Libre disp, social'!H53</f>
        <v>4000</v>
      </c>
      <c r="J81" s="1262">
        <f t="shared" si="1"/>
        <v>4000</v>
      </c>
    </row>
    <row r="82" spans="1:12" ht="24" hidden="1" customHeight="1">
      <c r="A82" s="1257" t="s">
        <v>418</v>
      </c>
      <c r="B82" s="1258" t="s">
        <v>419</v>
      </c>
      <c r="C82" s="1264"/>
      <c r="D82" s="1264"/>
      <c r="E82" s="1264"/>
      <c r="F82" s="1264"/>
      <c r="G82" s="1262"/>
      <c r="H82" s="1262"/>
      <c r="I82" s="1262"/>
      <c r="J82" s="1262">
        <f t="shared" si="1"/>
        <v>0</v>
      </c>
    </row>
    <row r="83" spans="1:12" ht="24" customHeight="1">
      <c r="A83" s="1257" t="s">
        <v>113</v>
      </c>
      <c r="B83" s="1258" t="s">
        <v>114</v>
      </c>
      <c r="C83" s="1264"/>
      <c r="D83" s="1264"/>
      <c r="E83" s="1264"/>
      <c r="F83" s="1264"/>
      <c r="G83" s="1262">
        <f>SUM('120 libre Administ.'!H55)</f>
        <v>500</v>
      </c>
      <c r="H83" s="1262"/>
      <c r="I83" s="1262"/>
      <c r="J83" s="1262">
        <f t="shared" si="1"/>
        <v>500</v>
      </c>
    </row>
    <row r="84" spans="1:12" ht="24" hidden="1" customHeight="1">
      <c r="A84" s="1257" t="s">
        <v>115</v>
      </c>
      <c r="B84" s="1258" t="s">
        <v>116</v>
      </c>
      <c r="C84" s="1264"/>
      <c r="D84" s="1264"/>
      <c r="E84" s="1264"/>
      <c r="F84" s="1264"/>
      <c r="G84" s="1262"/>
      <c r="H84" s="1262"/>
      <c r="I84" s="1262">
        <f>'120- Libre disp, social'!H54</f>
        <v>0</v>
      </c>
      <c r="J84" s="1262">
        <f t="shared" si="1"/>
        <v>0</v>
      </c>
    </row>
    <row r="85" spans="1:12" ht="30" customHeight="1">
      <c r="A85" s="1257" t="s">
        <v>117</v>
      </c>
      <c r="B85" s="1258" t="s">
        <v>118</v>
      </c>
      <c r="C85" s="1264"/>
      <c r="D85" s="1264"/>
      <c r="E85" s="1264"/>
      <c r="F85" s="1264"/>
      <c r="G85" s="1262"/>
      <c r="H85" s="1262"/>
      <c r="I85" s="1262">
        <f>'120- Libre disp, social'!H55</f>
        <v>4320</v>
      </c>
      <c r="J85" s="1262">
        <f t="shared" si="1"/>
        <v>4320</v>
      </c>
    </row>
    <row r="86" spans="1:12" ht="24" hidden="1" customHeight="1">
      <c r="A86" s="1252">
        <v>61599</v>
      </c>
      <c r="B86" s="1251" t="s">
        <v>119</v>
      </c>
      <c r="C86" s="350"/>
      <c r="D86" s="350"/>
      <c r="E86" s="350"/>
      <c r="F86" s="350"/>
      <c r="G86" s="349"/>
      <c r="H86" s="349"/>
      <c r="I86" s="349"/>
      <c r="J86" s="349">
        <f t="shared" si="1"/>
        <v>0</v>
      </c>
    </row>
    <row r="87" spans="1:12" ht="24" hidden="1" customHeight="1">
      <c r="A87" s="1252">
        <v>61601</v>
      </c>
      <c r="B87" s="1251" t="s">
        <v>120</v>
      </c>
      <c r="C87" s="350"/>
      <c r="D87" s="350"/>
      <c r="E87" s="350"/>
      <c r="F87" s="350"/>
      <c r="G87" s="349"/>
      <c r="H87" s="349"/>
      <c r="I87" s="349"/>
      <c r="J87" s="349">
        <f t="shared" si="1"/>
        <v>0</v>
      </c>
    </row>
    <row r="88" spans="1:12" ht="24" hidden="1" customHeight="1">
      <c r="A88" s="1252">
        <v>61602</v>
      </c>
      <c r="B88" s="1251" t="s">
        <v>121</v>
      </c>
      <c r="C88" s="350"/>
      <c r="D88" s="350"/>
      <c r="E88" s="350"/>
      <c r="F88" s="350"/>
      <c r="G88" s="349"/>
      <c r="H88" s="349"/>
      <c r="I88" s="349"/>
      <c r="J88" s="349">
        <f t="shared" si="1"/>
        <v>0</v>
      </c>
    </row>
    <row r="89" spans="1:12" ht="24" hidden="1" customHeight="1">
      <c r="A89" s="1252">
        <v>61603</v>
      </c>
      <c r="B89" s="1255" t="s">
        <v>122</v>
      </c>
      <c r="C89" s="350"/>
      <c r="D89" s="350"/>
      <c r="E89" s="350"/>
      <c r="F89" s="350"/>
      <c r="G89" s="349"/>
      <c r="H89" s="349"/>
      <c r="I89" s="349"/>
      <c r="J89" s="349">
        <f t="shared" si="1"/>
        <v>0</v>
      </c>
    </row>
    <row r="90" spans="1:12" ht="24" hidden="1" customHeight="1">
      <c r="A90" s="1252">
        <v>61604</v>
      </c>
      <c r="B90" s="1255" t="s">
        <v>620</v>
      </c>
      <c r="C90" s="350"/>
      <c r="D90" s="350"/>
      <c r="E90" s="350"/>
      <c r="F90" s="350"/>
      <c r="G90" s="349"/>
      <c r="H90" s="349"/>
      <c r="I90" s="349"/>
      <c r="J90" s="349">
        <f t="shared" si="1"/>
        <v>0</v>
      </c>
    </row>
    <row r="91" spans="1:12" ht="24" hidden="1" customHeight="1">
      <c r="A91" s="1252">
        <v>61605</v>
      </c>
      <c r="B91" s="1255" t="s">
        <v>419</v>
      </c>
      <c r="C91" s="350"/>
      <c r="D91" s="350"/>
      <c r="E91" s="350"/>
      <c r="F91" s="350"/>
      <c r="G91" s="349"/>
      <c r="H91" s="349"/>
      <c r="I91" s="349"/>
      <c r="J91" s="349">
        <f>+SUM(C91:I91)</f>
        <v>0</v>
      </c>
    </row>
    <row r="92" spans="1:12" ht="24" hidden="1" customHeight="1">
      <c r="A92" s="1252">
        <v>61606</v>
      </c>
      <c r="B92" s="1251" t="s">
        <v>123</v>
      </c>
      <c r="C92" s="350"/>
      <c r="D92" s="350"/>
      <c r="E92" s="350"/>
      <c r="F92" s="350"/>
      <c r="G92" s="349"/>
      <c r="H92" s="349"/>
      <c r="I92" s="349"/>
      <c r="J92" s="349">
        <f t="shared" si="1"/>
        <v>0</v>
      </c>
    </row>
    <row r="93" spans="1:12" ht="24" hidden="1" customHeight="1">
      <c r="A93" s="1252">
        <v>61608</v>
      </c>
      <c r="B93" s="1253" t="s">
        <v>124</v>
      </c>
      <c r="C93" s="350"/>
      <c r="D93" s="350"/>
      <c r="E93" s="350"/>
      <c r="F93" s="350"/>
      <c r="G93" s="349"/>
      <c r="H93" s="349"/>
      <c r="I93" s="349">
        <f>SUM('120- Libre disp, social'!H56)</f>
        <v>0</v>
      </c>
      <c r="J93" s="349">
        <f>+SUM(C93:I93)</f>
        <v>0</v>
      </c>
    </row>
    <row r="94" spans="1:12" ht="30" hidden="1">
      <c r="A94" s="1256">
        <v>61699</v>
      </c>
      <c r="B94" s="1253" t="s">
        <v>125</v>
      </c>
      <c r="C94" s="352"/>
      <c r="D94" s="352"/>
      <c r="E94" s="352"/>
      <c r="F94" s="352"/>
      <c r="G94" s="349"/>
      <c r="H94" s="349"/>
      <c r="I94" s="349"/>
      <c r="J94" s="349">
        <f t="shared" si="1"/>
        <v>0</v>
      </c>
      <c r="K94" s="38">
        <f>SUM(J78:J94)</f>
        <v>10320</v>
      </c>
      <c r="L94" s="296"/>
    </row>
    <row r="95" spans="1:12" ht="30" hidden="1">
      <c r="A95" s="1256">
        <v>62201</v>
      </c>
      <c r="B95" s="1253" t="s">
        <v>421</v>
      </c>
      <c r="C95" s="352"/>
      <c r="D95" s="352"/>
      <c r="E95" s="352"/>
      <c r="F95" s="352"/>
      <c r="G95" s="349"/>
      <c r="H95" s="349"/>
      <c r="I95" s="349"/>
      <c r="J95" s="349">
        <f t="shared" si="1"/>
        <v>0</v>
      </c>
    </row>
    <row r="96" spans="1:12" ht="15" hidden="1">
      <c r="A96" s="1256">
        <v>71304</v>
      </c>
      <c r="B96" s="1254" t="s">
        <v>178</v>
      </c>
      <c r="C96" s="352"/>
      <c r="D96" s="352"/>
      <c r="E96" s="352"/>
      <c r="F96" s="352"/>
      <c r="G96" s="349"/>
      <c r="H96" s="349"/>
      <c r="I96" s="349"/>
      <c r="J96" s="349">
        <f t="shared" si="1"/>
        <v>0</v>
      </c>
      <c r="K96" s="38">
        <f>SUM(J95:J96)</f>
        <v>0</v>
      </c>
    </row>
    <row r="97" spans="1:12" ht="30" hidden="1">
      <c r="A97" s="1256">
        <v>72101</v>
      </c>
      <c r="B97" s="1253" t="s">
        <v>126</v>
      </c>
      <c r="C97" s="352">
        <f>SUM('FONDOS PROPIOS'!H32)</f>
        <v>0</v>
      </c>
      <c r="D97" s="352"/>
      <c r="E97" s="352"/>
      <c r="F97" s="352"/>
      <c r="G97" s="349"/>
      <c r="H97" s="349"/>
      <c r="I97" s="349"/>
      <c r="J97" s="349">
        <f t="shared" si="1"/>
        <v>0</v>
      </c>
    </row>
    <row r="98" spans="1:12" ht="18" customHeight="1">
      <c r="A98" s="1417" t="s">
        <v>15</v>
      </c>
      <c r="B98" s="1417"/>
      <c r="C98" s="1266">
        <f>SUM(C10:C97)</f>
        <v>260561.65875</v>
      </c>
      <c r="D98" s="1266">
        <f>SUM(D10:D97)</f>
        <v>62635.360000000001</v>
      </c>
      <c r="E98" s="1266">
        <f>SUM(E10:E97)</f>
        <v>0</v>
      </c>
      <c r="F98" s="1267"/>
      <c r="G98" s="1267">
        <f>SUM(G10:G97)</f>
        <v>418402.79249999998</v>
      </c>
      <c r="H98" s="1267">
        <f>SUM(H10:H97)</f>
        <v>246944.11</v>
      </c>
      <c r="I98" s="1267">
        <f>SUM(I10:I97)</f>
        <v>203522.68</v>
      </c>
      <c r="J98" s="1267">
        <f>+SUM(C98:I98)</f>
        <v>1192066.6012500001</v>
      </c>
      <c r="K98" s="38">
        <f>SUM(C98:I98)</f>
        <v>1192066.6012500001</v>
      </c>
      <c r="L98" s="384">
        <f>J98-J99</f>
        <v>0</v>
      </c>
    </row>
    <row r="99" spans="1:12" ht="18" customHeight="1">
      <c r="A99" s="46"/>
      <c r="B99" s="1066" t="s">
        <v>397</v>
      </c>
      <c r="C99" s="1263">
        <f>SUM(INGRESOS!I52)</f>
        <v>323197.02</v>
      </c>
      <c r="D99" s="1202" t="s">
        <v>397</v>
      </c>
      <c r="E99" s="1065"/>
      <c r="F99" s="351"/>
      <c r="G99" s="1262">
        <f>INGRESOS!F52</f>
        <v>246944.11</v>
      </c>
      <c r="H99" s="478" t="s">
        <v>397</v>
      </c>
      <c r="I99" s="1262">
        <f>INGRESOS!E52+INGRESOS!D52+INGRESOS!C52</f>
        <v>621925.47</v>
      </c>
      <c r="J99" s="1265">
        <f>SUM(J10:J97)</f>
        <v>1192066.6012500001</v>
      </c>
      <c r="K99" s="38"/>
    </row>
    <row r="100" spans="1:12" ht="15.75">
      <c r="A100" s="46"/>
      <c r="B100" s="1067" t="s">
        <v>387</v>
      </c>
      <c r="C100" s="1264">
        <f>SUM(C98:F98)</f>
        <v>323197.01874999999</v>
      </c>
      <c r="D100" s="1202" t="s">
        <v>1041</v>
      </c>
      <c r="E100" s="478"/>
      <c r="F100" s="351"/>
      <c r="G100" s="1262">
        <f>H98</f>
        <v>246944.11</v>
      </c>
      <c r="H100" s="1250" t="s">
        <v>1040</v>
      </c>
      <c r="I100" s="1262">
        <f>I98+G98</f>
        <v>621925.47249999992</v>
      </c>
      <c r="J100" s="351"/>
    </row>
    <row r="101" spans="1:12" ht="15">
      <c r="A101" s="46"/>
      <c r="B101" s="552" t="s">
        <v>398</v>
      </c>
      <c r="C101" s="1064">
        <f>C99-C100</f>
        <v>1.2500000302679837E-3</v>
      </c>
      <c r="D101" s="552" t="s">
        <v>398</v>
      </c>
      <c r="E101" s="502"/>
      <c r="F101" s="1203"/>
      <c r="G101" s="1064">
        <f>G99-G100</f>
        <v>0</v>
      </c>
      <c r="H101" s="552" t="s">
        <v>398</v>
      </c>
      <c r="I101" s="1055">
        <f>I99-I100</f>
        <v>-2.4999999441206455E-3</v>
      </c>
      <c r="J101" s="351"/>
    </row>
    <row r="102" spans="1:12">
      <c r="A102" s="59"/>
      <c r="I102" s="1068"/>
      <c r="K102" s="38">
        <f>SUM(G98:I98)</f>
        <v>868869.58250000002</v>
      </c>
    </row>
    <row r="103" spans="1:12">
      <c r="A103" s="59"/>
      <c r="I103" s="1069"/>
    </row>
    <row r="104" spans="1:12">
      <c r="A104" s="59"/>
      <c r="I104" s="1069"/>
    </row>
    <row r="105" spans="1:12" ht="41.25" customHeight="1">
      <c r="A105" s="59"/>
      <c r="I105" s="1069"/>
      <c r="J105" s="1405"/>
      <c r="K105" s="1405"/>
    </row>
    <row r="106" spans="1:12">
      <c r="A106" s="59"/>
      <c r="I106" s="1069"/>
    </row>
    <row r="107" spans="1:12">
      <c r="A107" s="59"/>
      <c r="I107" s="1069"/>
    </row>
    <row r="108" spans="1:12">
      <c r="A108" s="59"/>
      <c r="I108" s="1069"/>
    </row>
    <row r="109" spans="1:12">
      <c r="A109" s="59"/>
      <c r="I109" s="1069"/>
    </row>
    <row r="110" spans="1:12">
      <c r="A110" s="59"/>
      <c r="I110" s="1069"/>
    </row>
    <row r="111" spans="1:12">
      <c r="A111" s="59"/>
      <c r="I111" s="1069"/>
    </row>
    <row r="112" spans="1:12">
      <c r="A112" s="59"/>
      <c r="I112" s="1069"/>
    </row>
    <row r="113" spans="1:9">
      <c r="A113" s="59"/>
      <c r="I113" s="1069"/>
    </row>
    <row r="114" spans="1:9">
      <c r="A114" s="59"/>
      <c r="I114" s="1069"/>
    </row>
    <row r="115" spans="1:9">
      <c r="A115" s="59"/>
      <c r="I115" s="1069"/>
    </row>
    <row r="116" spans="1:9">
      <c r="A116" s="59"/>
      <c r="I116" s="1069"/>
    </row>
    <row r="117" spans="1:9">
      <c r="A117" s="59"/>
      <c r="I117" s="1069"/>
    </row>
    <row r="118" spans="1:9">
      <c r="A118" s="59"/>
      <c r="I118" s="1069"/>
    </row>
    <row r="119" spans="1:9">
      <c r="A119" s="59"/>
      <c r="I119" s="1069"/>
    </row>
    <row r="120" spans="1:9">
      <c r="A120" s="59"/>
      <c r="I120" s="1069"/>
    </row>
    <row r="121" spans="1:9">
      <c r="A121" s="59"/>
      <c r="I121" s="1069"/>
    </row>
    <row r="122" spans="1:9">
      <c r="A122" s="59"/>
      <c r="I122" s="1069"/>
    </row>
    <row r="123" spans="1:9">
      <c r="A123" s="59"/>
      <c r="I123" s="1069"/>
    </row>
    <row r="124" spans="1:9">
      <c r="A124" s="59"/>
      <c r="I124" s="1069"/>
    </row>
    <row r="125" spans="1:9">
      <c r="A125" s="59"/>
      <c r="I125" s="1069"/>
    </row>
    <row r="126" spans="1:9">
      <c r="A126" s="59"/>
      <c r="I126" s="1069"/>
    </row>
    <row r="127" spans="1:9">
      <c r="A127" s="59"/>
      <c r="I127" s="1069"/>
    </row>
    <row r="128" spans="1:9">
      <c r="A128" s="59"/>
      <c r="I128" s="1069"/>
    </row>
    <row r="129" spans="1:9">
      <c r="A129" s="59"/>
      <c r="I129" s="1069"/>
    </row>
    <row r="130" spans="1:9">
      <c r="A130" s="59"/>
      <c r="I130" s="1069"/>
    </row>
    <row r="131" spans="1:9">
      <c r="A131" s="59"/>
      <c r="I131" s="1069"/>
    </row>
    <row r="132" spans="1:9">
      <c r="A132" s="59"/>
      <c r="I132" s="1069"/>
    </row>
    <row r="133" spans="1:9">
      <c r="A133" s="59"/>
      <c r="I133" s="1069"/>
    </row>
    <row r="134" spans="1:9">
      <c r="A134" s="59"/>
      <c r="I134" s="1069"/>
    </row>
    <row r="135" spans="1:9">
      <c r="A135" s="59"/>
      <c r="I135" s="1069"/>
    </row>
    <row r="136" spans="1:9">
      <c r="A136" s="59"/>
      <c r="I136" s="1069"/>
    </row>
    <row r="137" spans="1:9">
      <c r="A137" s="59"/>
      <c r="I137" s="1069"/>
    </row>
    <row r="138" spans="1:9">
      <c r="A138" s="59"/>
      <c r="I138" s="1069"/>
    </row>
    <row r="139" spans="1:9">
      <c r="A139" s="59"/>
      <c r="I139" s="1069"/>
    </row>
    <row r="140" spans="1:9">
      <c r="A140" s="59"/>
      <c r="I140" s="1069"/>
    </row>
    <row r="141" spans="1:9">
      <c r="A141" s="59"/>
      <c r="I141" s="1069"/>
    </row>
    <row r="142" spans="1:9">
      <c r="A142" s="59"/>
      <c r="I142" s="1069"/>
    </row>
    <row r="143" spans="1:9">
      <c r="A143" s="59"/>
      <c r="I143" s="1069"/>
    </row>
    <row r="144" spans="1:9">
      <c r="A144" s="59"/>
      <c r="I144" s="1069"/>
    </row>
    <row r="145" spans="1:9">
      <c r="A145" s="59"/>
      <c r="I145" s="1069"/>
    </row>
    <row r="146" spans="1:9">
      <c r="A146" s="59"/>
      <c r="I146" s="1069"/>
    </row>
    <row r="147" spans="1:9">
      <c r="A147" s="59"/>
      <c r="I147" s="1069"/>
    </row>
    <row r="148" spans="1:9">
      <c r="A148" s="59"/>
      <c r="I148" s="1069"/>
    </row>
    <row r="149" spans="1:9">
      <c r="A149" s="59"/>
      <c r="I149" s="1069"/>
    </row>
    <row r="150" spans="1:9">
      <c r="A150" s="59"/>
      <c r="I150" s="1069"/>
    </row>
    <row r="151" spans="1:9">
      <c r="A151" s="59"/>
      <c r="I151" s="1069"/>
    </row>
    <row r="152" spans="1:9">
      <c r="A152" s="59"/>
      <c r="I152" s="1069"/>
    </row>
    <row r="153" spans="1:9">
      <c r="A153" s="59"/>
      <c r="I153" s="1069"/>
    </row>
    <row r="154" spans="1:9">
      <c r="A154" s="59"/>
      <c r="I154" s="1069"/>
    </row>
    <row r="155" spans="1:9">
      <c r="A155" s="59"/>
      <c r="I155" s="1069"/>
    </row>
    <row r="156" spans="1:9">
      <c r="A156" s="59"/>
      <c r="I156" s="1069"/>
    </row>
    <row r="157" spans="1:9">
      <c r="A157" s="59"/>
      <c r="I157" s="1069"/>
    </row>
    <row r="158" spans="1:9">
      <c r="A158" s="59"/>
      <c r="I158" s="1069"/>
    </row>
    <row r="159" spans="1:9">
      <c r="A159" s="59"/>
      <c r="I159" s="1069"/>
    </row>
    <row r="160" spans="1:9">
      <c r="A160" s="59"/>
      <c r="I160" s="1069"/>
    </row>
    <row r="161" spans="1:9">
      <c r="A161" s="59"/>
      <c r="I161" s="1069"/>
    </row>
    <row r="162" spans="1:9">
      <c r="A162" s="59"/>
      <c r="I162" s="1069"/>
    </row>
    <row r="163" spans="1:9">
      <c r="A163" s="59"/>
      <c r="I163" s="1069"/>
    </row>
    <row r="164" spans="1:9">
      <c r="A164" s="59"/>
      <c r="I164" s="1069"/>
    </row>
    <row r="165" spans="1:9">
      <c r="A165" s="59"/>
      <c r="I165" s="1069"/>
    </row>
    <row r="166" spans="1:9">
      <c r="A166" s="59"/>
      <c r="I166" s="1069"/>
    </row>
    <row r="167" spans="1:9">
      <c r="A167" s="59"/>
      <c r="I167" s="1069"/>
    </row>
    <row r="168" spans="1:9">
      <c r="A168" s="59"/>
      <c r="I168" s="1069"/>
    </row>
    <row r="169" spans="1:9">
      <c r="A169" s="59"/>
      <c r="I169" s="1069"/>
    </row>
    <row r="170" spans="1:9">
      <c r="A170" s="59"/>
      <c r="I170" s="1069"/>
    </row>
    <row r="171" spans="1:9">
      <c r="A171" s="59"/>
      <c r="I171" s="1069"/>
    </row>
    <row r="172" spans="1:9">
      <c r="A172" s="59"/>
      <c r="I172" s="1069"/>
    </row>
    <row r="173" spans="1:9">
      <c r="A173" s="59"/>
      <c r="I173" s="1069"/>
    </row>
    <row r="174" spans="1:9">
      <c r="A174" s="59"/>
      <c r="I174" s="1069"/>
    </row>
    <row r="175" spans="1:9">
      <c r="A175" s="59"/>
      <c r="I175" s="1069"/>
    </row>
    <row r="176" spans="1:9">
      <c r="A176" s="59"/>
      <c r="I176" s="1069"/>
    </row>
    <row r="177" spans="1:9">
      <c r="A177" s="59"/>
      <c r="I177" s="1069"/>
    </row>
    <row r="178" spans="1:9">
      <c r="A178" s="59"/>
      <c r="I178" s="1069"/>
    </row>
    <row r="179" spans="1:9">
      <c r="A179" s="59"/>
      <c r="I179" s="1069"/>
    </row>
    <row r="180" spans="1:9">
      <c r="A180" s="59"/>
      <c r="I180" s="1069"/>
    </row>
    <row r="181" spans="1:9">
      <c r="A181" s="59"/>
      <c r="I181" s="1069"/>
    </row>
    <row r="182" spans="1:9">
      <c r="A182" s="59"/>
      <c r="I182" s="1069"/>
    </row>
    <row r="183" spans="1:9">
      <c r="A183" s="59"/>
      <c r="I183" s="1069"/>
    </row>
    <row r="184" spans="1:9">
      <c r="A184" s="59"/>
      <c r="I184" s="1069"/>
    </row>
    <row r="185" spans="1:9">
      <c r="A185" s="59"/>
      <c r="I185" s="1069"/>
    </row>
    <row r="186" spans="1:9">
      <c r="A186" s="59"/>
      <c r="I186" s="1069"/>
    </row>
    <row r="187" spans="1:9">
      <c r="A187" s="59"/>
      <c r="I187" s="1069"/>
    </row>
    <row r="188" spans="1:9">
      <c r="A188" s="59"/>
      <c r="I188" s="1069"/>
    </row>
    <row r="189" spans="1:9">
      <c r="A189" s="59"/>
      <c r="I189" s="1069"/>
    </row>
    <row r="190" spans="1:9">
      <c r="A190" s="59"/>
      <c r="I190" s="1069"/>
    </row>
    <row r="191" spans="1:9">
      <c r="A191" s="59"/>
      <c r="I191" s="1069"/>
    </row>
    <row r="192" spans="1:9">
      <c r="A192" s="59"/>
      <c r="I192" s="1069"/>
    </row>
    <row r="193" spans="1:9">
      <c r="A193" s="59"/>
      <c r="I193" s="1069"/>
    </row>
    <row r="194" spans="1:9">
      <c r="A194" s="59"/>
      <c r="I194" s="1069"/>
    </row>
    <row r="195" spans="1:9">
      <c r="A195" s="59"/>
      <c r="I195" s="1069"/>
    </row>
    <row r="196" spans="1:9">
      <c r="A196" s="59"/>
      <c r="I196" s="1069"/>
    </row>
    <row r="197" spans="1:9">
      <c r="A197" s="59"/>
      <c r="I197" s="1069"/>
    </row>
    <row r="198" spans="1:9">
      <c r="A198" s="59"/>
      <c r="I198" s="1069"/>
    </row>
    <row r="199" spans="1:9">
      <c r="A199" s="59"/>
      <c r="I199" s="1069"/>
    </row>
    <row r="200" spans="1:9">
      <c r="A200" s="59"/>
      <c r="I200" s="1069"/>
    </row>
    <row r="201" spans="1:9">
      <c r="A201" s="59"/>
      <c r="I201" s="1069"/>
    </row>
    <row r="202" spans="1:9">
      <c r="A202" s="59"/>
      <c r="I202" s="1069"/>
    </row>
    <row r="203" spans="1:9">
      <c r="A203" s="59"/>
      <c r="I203" s="1069"/>
    </row>
    <row r="204" spans="1:9">
      <c r="A204" s="59"/>
      <c r="I204" s="1069"/>
    </row>
    <row r="205" spans="1:9">
      <c r="A205" s="59"/>
      <c r="I205" s="1069"/>
    </row>
    <row r="206" spans="1:9">
      <c r="A206" s="59"/>
      <c r="I206" s="1069"/>
    </row>
    <row r="207" spans="1:9">
      <c r="A207" s="59"/>
      <c r="I207" s="1069"/>
    </row>
    <row r="208" spans="1:9">
      <c r="A208" s="59"/>
      <c r="I208" s="1069"/>
    </row>
    <row r="209" spans="1:9">
      <c r="A209" s="59"/>
      <c r="I209" s="1069"/>
    </row>
    <row r="210" spans="1:9">
      <c r="A210" s="59"/>
      <c r="I210" s="1069"/>
    </row>
    <row r="211" spans="1:9">
      <c r="A211" s="59"/>
      <c r="I211" s="1069"/>
    </row>
    <row r="212" spans="1:9">
      <c r="A212" s="59"/>
      <c r="I212" s="1069"/>
    </row>
    <row r="213" spans="1:9">
      <c r="A213" s="59"/>
      <c r="I213" s="1069"/>
    </row>
    <row r="214" spans="1:9">
      <c r="A214" s="59"/>
      <c r="I214" s="1069"/>
    </row>
    <row r="215" spans="1:9">
      <c r="A215" s="59"/>
      <c r="I215" s="1069"/>
    </row>
    <row r="216" spans="1:9">
      <c r="A216" s="59"/>
      <c r="I216" s="1069"/>
    </row>
    <row r="217" spans="1:9">
      <c r="A217" s="59"/>
      <c r="I217" s="1069"/>
    </row>
    <row r="218" spans="1:9">
      <c r="A218" s="59"/>
      <c r="I218" s="1069"/>
    </row>
    <row r="219" spans="1:9">
      <c r="A219" s="59"/>
      <c r="I219" s="1069"/>
    </row>
    <row r="220" spans="1:9">
      <c r="A220" s="59"/>
      <c r="I220" s="1069"/>
    </row>
    <row r="221" spans="1:9">
      <c r="A221" s="59"/>
      <c r="I221" s="1069"/>
    </row>
    <row r="222" spans="1:9">
      <c r="A222" s="59"/>
      <c r="I222" s="1069"/>
    </row>
    <row r="223" spans="1:9">
      <c r="A223" s="59"/>
      <c r="I223" s="1069"/>
    </row>
    <row r="224" spans="1:9">
      <c r="A224" s="59"/>
      <c r="I224" s="1069"/>
    </row>
    <row r="225" spans="1:9">
      <c r="A225" s="59"/>
      <c r="I225" s="1069"/>
    </row>
    <row r="226" spans="1:9">
      <c r="A226" s="59"/>
      <c r="I226" s="1069"/>
    </row>
    <row r="227" spans="1:9">
      <c r="A227" s="59"/>
      <c r="I227" s="1069"/>
    </row>
    <row r="228" spans="1:9">
      <c r="A228" s="59"/>
      <c r="I228" s="1069"/>
    </row>
    <row r="229" spans="1:9">
      <c r="A229" s="59"/>
      <c r="I229" s="1069"/>
    </row>
    <row r="230" spans="1:9">
      <c r="A230" s="59"/>
      <c r="I230" s="1069"/>
    </row>
    <row r="231" spans="1:9">
      <c r="A231" s="59"/>
      <c r="I231" s="1069"/>
    </row>
    <row r="232" spans="1:9">
      <c r="A232" s="59"/>
      <c r="I232" s="1069"/>
    </row>
    <row r="233" spans="1:9">
      <c r="A233" s="59"/>
      <c r="I233" s="1069"/>
    </row>
    <row r="234" spans="1:9">
      <c r="A234" s="59"/>
      <c r="I234" s="1069"/>
    </row>
    <row r="235" spans="1:9">
      <c r="A235" s="59"/>
      <c r="I235" s="1069"/>
    </row>
    <row r="236" spans="1:9">
      <c r="A236" s="59"/>
      <c r="I236" s="1069"/>
    </row>
    <row r="237" spans="1:9">
      <c r="A237" s="59"/>
      <c r="I237" s="1069"/>
    </row>
    <row r="238" spans="1:9">
      <c r="A238" s="59"/>
      <c r="I238" s="1069"/>
    </row>
    <row r="239" spans="1:9">
      <c r="A239" s="59"/>
      <c r="I239" s="1069"/>
    </row>
    <row r="240" spans="1:9">
      <c r="A240" s="59"/>
      <c r="I240" s="1069"/>
    </row>
    <row r="241" spans="1:9">
      <c r="A241" s="59"/>
      <c r="I241" s="1069"/>
    </row>
    <row r="242" spans="1:9">
      <c r="A242" s="59"/>
      <c r="I242" s="1069"/>
    </row>
    <row r="243" spans="1:9">
      <c r="A243" s="59"/>
      <c r="I243" s="1069"/>
    </row>
    <row r="244" spans="1:9">
      <c r="A244" s="59"/>
      <c r="I244" s="1069"/>
    </row>
    <row r="245" spans="1:9">
      <c r="A245" s="59"/>
      <c r="I245" s="1069"/>
    </row>
    <row r="246" spans="1:9">
      <c r="A246" s="59"/>
      <c r="I246" s="1069"/>
    </row>
    <row r="247" spans="1:9">
      <c r="A247" s="59"/>
      <c r="I247" s="1069"/>
    </row>
    <row r="248" spans="1:9">
      <c r="A248" s="59"/>
      <c r="I248" s="1069"/>
    </row>
    <row r="249" spans="1:9">
      <c r="A249" s="59"/>
      <c r="I249" s="1069"/>
    </row>
    <row r="250" spans="1:9">
      <c r="A250" s="59"/>
      <c r="I250" s="1069"/>
    </row>
    <row r="251" spans="1:9">
      <c r="A251" s="59"/>
      <c r="I251" s="1069"/>
    </row>
    <row r="252" spans="1:9">
      <c r="A252" s="59"/>
      <c r="I252" s="1069"/>
    </row>
    <row r="253" spans="1:9">
      <c r="A253" s="59"/>
      <c r="I253" s="1069"/>
    </row>
    <row r="254" spans="1:9">
      <c r="A254" s="59"/>
      <c r="I254" s="1069"/>
    </row>
    <row r="255" spans="1:9">
      <c r="A255" s="59"/>
      <c r="I255" s="1069"/>
    </row>
    <row r="256" spans="1:9">
      <c r="A256" s="59"/>
      <c r="I256" s="1069"/>
    </row>
    <row r="257" spans="1:9">
      <c r="A257" s="59"/>
      <c r="I257" s="1069"/>
    </row>
    <row r="258" spans="1:9">
      <c r="A258" s="59"/>
      <c r="I258" s="1069"/>
    </row>
    <row r="259" spans="1:9">
      <c r="A259" s="59"/>
      <c r="I259" s="1069"/>
    </row>
    <row r="260" spans="1:9">
      <c r="A260" s="59"/>
      <c r="I260" s="1069"/>
    </row>
    <row r="261" spans="1:9">
      <c r="A261" s="59"/>
      <c r="I261" s="1069"/>
    </row>
    <row r="262" spans="1:9">
      <c r="A262" s="59"/>
      <c r="I262" s="1069"/>
    </row>
    <row r="263" spans="1:9">
      <c r="A263" s="59"/>
      <c r="I263" s="1069"/>
    </row>
    <row r="264" spans="1:9">
      <c r="A264" s="59"/>
      <c r="I264" s="1069"/>
    </row>
    <row r="265" spans="1:9">
      <c r="A265" s="59"/>
      <c r="I265" s="1069"/>
    </row>
    <row r="266" spans="1:9">
      <c r="A266" s="59"/>
      <c r="I266" s="1069"/>
    </row>
    <row r="267" spans="1:9">
      <c r="A267" s="59"/>
      <c r="I267" s="1069"/>
    </row>
    <row r="268" spans="1:9">
      <c r="A268" s="59"/>
      <c r="I268" s="1069"/>
    </row>
    <row r="269" spans="1:9">
      <c r="A269" s="59"/>
      <c r="I269" s="1069"/>
    </row>
    <row r="270" spans="1:9">
      <c r="A270" s="59"/>
      <c r="I270" s="1069"/>
    </row>
    <row r="271" spans="1:9">
      <c r="A271" s="59"/>
      <c r="I271" s="1069"/>
    </row>
    <row r="272" spans="1:9">
      <c r="A272" s="59"/>
      <c r="I272" s="1069"/>
    </row>
    <row r="273" spans="1:10">
      <c r="A273" s="59"/>
      <c r="I273" s="1069"/>
    </row>
    <row r="274" spans="1:10">
      <c r="A274" s="59"/>
      <c r="I274" s="1069"/>
    </row>
    <row r="275" spans="1:10">
      <c r="A275" s="59"/>
      <c r="I275" s="1069"/>
    </row>
    <row r="276" spans="1:10">
      <c r="A276" s="59"/>
      <c r="I276" s="1069"/>
    </row>
    <row r="277" spans="1:10">
      <c r="A277" s="59"/>
    </row>
    <row r="278" spans="1:10">
      <c r="J278" s="347"/>
    </row>
    <row r="450" ht="6.75" customHeight="1"/>
  </sheetData>
  <mergeCells count="11">
    <mergeCell ref="J105:K105"/>
    <mergeCell ref="C8:I8"/>
    <mergeCell ref="J8:J9"/>
    <mergeCell ref="A1:J1"/>
    <mergeCell ref="A2:J2"/>
    <mergeCell ref="A3:J3"/>
    <mergeCell ref="A4:J4"/>
    <mergeCell ref="A5:J5"/>
    <mergeCell ref="A7:J7"/>
    <mergeCell ref="A8:A9"/>
    <mergeCell ref="A98:B98"/>
  </mergeCells>
  <pageMargins left="0.9055118110236221" right="0.11811023622047245" top="0.39370078740157483" bottom="0.6692913385826772" header="0.31496062992125984" footer="0.31496062992125984"/>
  <pageSetup scale="57" orientation="portrait" horizontalDpi="0"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AS136"/>
  <sheetViews>
    <sheetView topLeftCell="A85" workbookViewId="0">
      <selection activeCell="Z21" sqref="Z21"/>
    </sheetView>
  </sheetViews>
  <sheetFormatPr baseColWidth="10" defaultRowHeight="13.5"/>
  <cols>
    <col min="1" max="1" width="6" style="43" customWidth="1"/>
    <col min="2" max="2" width="32.28515625" style="138" customWidth="1"/>
    <col min="3" max="3" width="12.140625" style="46" customWidth="1"/>
    <col min="4" max="4" width="11.7109375" style="46" customWidth="1"/>
    <col min="5" max="5" width="11.42578125" style="46" customWidth="1"/>
    <col min="6" max="6" width="11.7109375" style="46" customWidth="1"/>
    <col min="7" max="7" width="13.5703125" style="46" customWidth="1"/>
    <col min="8" max="8" width="14" style="46" customWidth="1"/>
    <col min="9" max="10" width="13.42578125" style="46" customWidth="1"/>
    <col min="11" max="11" width="12.28515625" style="43" customWidth="1"/>
    <col min="12" max="12" width="0.28515625" style="46" hidden="1" customWidth="1"/>
    <col min="13" max="13" width="11.7109375" style="46" customWidth="1"/>
    <col min="14" max="14" width="13.5703125" style="46" customWidth="1"/>
    <col min="15" max="15" width="12.5703125" style="128" hidden="1" customWidth="1"/>
    <col min="16" max="16" width="0.140625" style="140" customWidth="1"/>
    <col min="17" max="17" width="13.85546875" style="140" hidden="1" customWidth="1"/>
    <col min="18" max="18" width="14.140625" style="130" customWidth="1"/>
    <col min="19" max="19" width="0.28515625" style="46" hidden="1" customWidth="1"/>
    <col min="20" max="20" width="13.7109375" style="129" hidden="1" customWidth="1"/>
    <col min="21" max="21" width="0.28515625" style="140" hidden="1" customWidth="1"/>
    <col min="22" max="22" width="13.5703125" style="46" customWidth="1"/>
    <col min="23" max="23" width="14.5703125" style="46" customWidth="1"/>
    <col min="24" max="24" width="11.42578125" style="47"/>
  </cols>
  <sheetData>
    <row r="1" spans="1:37" ht="19.5" customHeight="1">
      <c r="A1" s="1411"/>
      <c r="B1" s="1411"/>
      <c r="C1" s="1411"/>
      <c r="D1" s="1411"/>
      <c r="E1" s="1411"/>
      <c r="F1" s="1411"/>
      <c r="G1" s="1411"/>
      <c r="H1" s="1411"/>
      <c r="I1" s="1411"/>
      <c r="J1" s="1411"/>
      <c r="K1" s="1411"/>
      <c r="L1" s="1411"/>
      <c r="M1" s="1411"/>
      <c r="N1" s="1411"/>
      <c r="O1" s="1411"/>
      <c r="P1" s="1411"/>
      <c r="Q1" s="1411"/>
      <c r="R1" s="1411"/>
      <c r="S1" s="1411"/>
      <c r="T1" s="1411"/>
      <c r="U1" s="1411"/>
      <c r="V1" s="1411"/>
      <c r="W1" s="1411"/>
      <c r="X1" s="48"/>
    </row>
    <row r="2" spans="1:37" ht="24" customHeight="1">
      <c r="A2" s="1418" t="s">
        <v>78</v>
      </c>
      <c r="B2" s="1418"/>
      <c r="C2" s="1418"/>
      <c r="D2" s="1418"/>
      <c r="E2" s="1418"/>
      <c r="F2" s="1418"/>
      <c r="G2" s="1418"/>
      <c r="H2" s="1418"/>
      <c r="I2" s="1418"/>
      <c r="J2" s="1418"/>
      <c r="K2" s="1418"/>
      <c r="L2" s="1418"/>
      <c r="M2" s="1418"/>
      <c r="N2" s="1418"/>
      <c r="O2" s="1418"/>
      <c r="P2" s="1418"/>
      <c r="Q2" s="1418"/>
      <c r="R2" s="1418"/>
      <c r="S2" s="1418"/>
      <c r="T2" s="1418"/>
      <c r="U2" s="1418"/>
      <c r="V2" s="1418"/>
      <c r="W2" s="1418"/>
      <c r="X2" s="48"/>
    </row>
    <row r="3" spans="1:37" ht="24" customHeight="1">
      <c r="A3" s="1426" t="s">
        <v>10</v>
      </c>
      <c r="B3" s="1426"/>
      <c r="C3" s="1426"/>
      <c r="D3" s="1426"/>
      <c r="E3" s="1426"/>
      <c r="F3" s="1426"/>
      <c r="G3" s="1426"/>
      <c r="H3" s="1426"/>
      <c r="I3" s="1426"/>
      <c r="J3" s="1426"/>
      <c r="K3" s="1426"/>
      <c r="L3" s="1426"/>
      <c r="M3" s="1426"/>
      <c r="N3" s="1426"/>
      <c r="O3" s="1426"/>
      <c r="P3" s="1426"/>
      <c r="Q3" s="1426"/>
      <c r="R3" s="1426"/>
      <c r="S3" s="1426"/>
      <c r="T3" s="1426"/>
      <c r="U3" s="1426"/>
      <c r="V3" s="1426"/>
      <c r="W3" s="1426"/>
    </row>
    <row r="4" spans="1:37" ht="24" customHeight="1">
      <c r="A4" s="1426" t="s">
        <v>625</v>
      </c>
      <c r="B4" s="1426"/>
      <c r="C4" s="1426"/>
      <c r="D4" s="1426"/>
      <c r="E4" s="1426"/>
      <c r="F4" s="1426"/>
      <c r="G4" s="1426"/>
      <c r="H4" s="1426"/>
      <c r="I4" s="1426"/>
      <c r="J4" s="1426"/>
      <c r="K4" s="1426"/>
      <c r="L4" s="1426"/>
      <c r="M4" s="1426"/>
      <c r="N4" s="1426"/>
      <c r="O4" s="1426"/>
      <c r="P4" s="1426"/>
      <c r="Q4" s="1426"/>
      <c r="R4" s="1426"/>
      <c r="S4" s="1426"/>
      <c r="T4" s="1426"/>
      <c r="U4" s="1426"/>
      <c r="V4" s="1426"/>
      <c r="W4" s="1426"/>
    </row>
    <row r="5" spans="1:37" ht="24" customHeight="1">
      <c r="A5" s="1426" t="s">
        <v>11</v>
      </c>
      <c r="B5" s="1426"/>
      <c r="C5" s="1426"/>
      <c r="D5" s="1426"/>
      <c r="E5" s="1426"/>
      <c r="F5" s="1426"/>
      <c r="G5" s="1426"/>
      <c r="H5" s="1426"/>
      <c r="I5" s="1426"/>
      <c r="J5" s="1426"/>
      <c r="K5" s="1426"/>
      <c r="L5" s="1426"/>
      <c r="M5" s="1426"/>
      <c r="N5" s="1426"/>
      <c r="O5" s="1426"/>
      <c r="P5" s="1426"/>
      <c r="Q5" s="1426"/>
      <c r="R5" s="1426"/>
      <c r="S5" s="1426"/>
      <c r="T5" s="1426"/>
      <c r="U5" s="1426"/>
      <c r="V5" s="1426"/>
      <c r="W5" s="1426"/>
    </row>
    <row r="6" spans="1:37" ht="1.5" customHeight="1">
      <c r="A6" s="1421"/>
      <c r="B6" s="1421"/>
      <c r="C6" s="1421"/>
      <c r="D6" s="1421"/>
      <c r="E6" s="1421"/>
      <c r="F6" s="1421"/>
      <c r="G6" s="1421"/>
      <c r="H6" s="1421"/>
      <c r="I6" s="1421"/>
      <c r="J6" s="1421"/>
      <c r="K6" s="1421"/>
      <c r="L6" s="1421"/>
      <c r="M6" s="1421"/>
      <c r="N6" s="1421"/>
      <c r="O6" s="1421"/>
      <c r="P6" s="1421"/>
      <c r="Q6" s="1421"/>
      <c r="R6" s="1421"/>
      <c r="S6" s="1421"/>
      <c r="T6" s="1421"/>
      <c r="U6" s="1421"/>
      <c r="V6" s="1421"/>
      <c r="W6" s="1421"/>
    </row>
    <row r="7" spans="1:37" ht="31.5" customHeight="1" thickBot="1">
      <c r="A7" s="1422" t="s">
        <v>12</v>
      </c>
      <c r="B7" s="1422"/>
      <c r="C7" s="1422"/>
      <c r="D7" s="1422"/>
      <c r="E7" s="1422"/>
      <c r="F7" s="1422"/>
      <c r="G7" s="1422"/>
      <c r="H7" s="1422"/>
      <c r="I7" s="1422"/>
      <c r="J7" s="1422"/>
      <c r="K7" s="1422"/>
      <c r="L7" s="1422"/>
      <c r="M7" s="1422"/>
      <c r="N7" s="1422"/>
      <c r="O7" s="1422"/>
      <c r="P7" s="1422"/>
      <c r="Q7" s="1422"/>
      <c r="R7" s="1422"/>
      <c r="S7" s="1422"/>
      <c r="T7" s="1422"/>
      <c r="U7" s="1422"/>
      <c r="V7" s="1422"/>
      <c r="W7" s="1422"/>
    </row>
    <row r="8" spans="1:37" s="40" customFormat="1" ht="22.5" customHeight="1" thickBot="1">
      <c r="A8" s="353"/>
      <c r="B8" s="354"/>
      <c r="C8" s="1423" t="s">
        <v>553</v>
      </c>
      <c r="D8" s="1424"/>
      <c r="E8" s="1424"/>
      <c r="F8" s="1424"/>
      <c r="G8" s="1424"/>
      <c r="H8" s="1424"/>
      <c r="I8" s="1424"/>
      <c r="J8" s="1424"/>
      <c r="K8" s="1424"/>
      <c r="L8" s="1424"/>
      <c r="M8" s="1424"/>
      <c r="N8" s="1424"/>
      <c r="O8" s="1424"/>
      <c r="P8" s="1424"/>
      <c r="Q8" s="1424"/>
      <c r="R8" s="1424"/>
      <c r="S8" s="1424"/>
      <c r="T8" s="1424"/>
      <c r="U8" s="1424"/>
      <c r="V8" s="1425"/>
      <c r="W8" s="1438" t="s">
        <v>14</v>
      </c>
      <c r="X8" s="46"/>
    </row>
    <row r="9" spans="1:37" s="132" customFormat="1" ht="72.75" customHeight="1" thickBot="1">
      <c r="A9" s="355" t="s">
        <v>13</v>
      </c>
      <c r="B9" s="356" t="s">
        <v>406</v>
      </c>
      <c r="C9" s="357" t="s">
        <v>410</v>
      </c>
      <c r="D9" s="358" t="s">
        <v>411</v>
      </c>
      <c r="E9" s="358" t="s">
        <v>404</v>
      </c>
      <c r="F9" s="359" t="s">
        <v>405</v>
      </c>
      <c r="G9" s="360" t="s">
        <v>556</v>
      </c>
      <c r="H9" s="360" t="s">
        <v>554</v>
      </c>
      <c r="I9" s="360" t="s">
        <v>557</v>
      </c>
      <c r="J9" s="360" t="s">
        <v>558</v>
      </c>
      <c r="K9" s="361" t="s">
        <v>403</v>
      </c>
      <c r="L9" s="362" t="s">
        <v>373</v>
      </c>
      <c r="M9" s="363" t="s">
        <v>619</v>
      </c>
      <c r="N9" s="364" t="s">
        <v>401</v>
      </c>
      <c r="O9" s="365" t="s">
        <v>374</v>
      </c>
      <c r="P9" s="366" t="s">
        <v>375</v>
      </c>
      <c r="Q9" s="367" t="s">
        <v>385</v>
      </c>
      <c r="R9" s="368" t="s">
        <v>559</v>
      </c>
      <c r="S9" s="369" t="s">
        <v>417</v>
      </c>
      <c r="T9" s="369" t="s">
        <v>376</v>
      </c>
      <c r="U9" s="370" t="s">
        <v>377</v>
      </c>
      <c r="V9" s="371" t="s">
        <v>560</v>
      </c>
      <c r="W9" s="1439"/>
    </row>
    <row r="10" spans="1:37" s="40" customFormat="1" ht="24" customHeight="1">
      <c r="A10" s="247" t="s">
        <v>31</v>
      </c>
      <c r="B10" s="259" t="s">
        <v>80</v>
      </c>
      <c r="C10" s="256">
        <f>SUM('Concen. de  Recursos Huma'!C20)</f>
        <v>44219.5</v>
      </c>
      <c r="D10" s="260">
        <f>SUM('Concen. de  Recursos Huma'!D20)</f>
        <v>0</v>
      </c>
      <c r="E10" s="256">
        <f>SUM('Concen. de  Recursos Huma'!E20)</f>
        <v>0</v>
      </c>
      <c r="F10" s="257">
        <f>SUM('Concen. de  Recursos Huma'!F20)</f>
        <v>0</v>
      </c>
      <c r="G10" s="258">
        <f>SUM('Concen. de  Recursos Huma'!C7)</f>
        <v>221097.5</v>
      </c>
      <c r="H10" s="256">
        <f>SUM('Concen. de  Recursos Huma'!D7)</f>
        <v>0</v>
      </c>
      <c r="I10" s="256">
        <f>SUM('Concen. de  Recursos Huma'!E7)</f>
        <v>0</v>
      </c>
      <c r="J10" s="257">
        <f>SUM('Concen. de  Recursos Huma'!F7)</f>
        <v>0</v>
      </c>
      <c r="K10" s="248"/>
      <c r="L10" s="101"/>
      <c r="M10" s="101"/>
      <c r="N10" s="238">
        <f>SUM('Proy. de recur.Humanos'!C104)</f>
        <v>29604</v>
      </c>
      <c r="O10" s="131"/>
      <c r="P10" s="102"/>
      <c r="Q10" s="104"/>
      <c r="R10" s="346"/>
      <c r="S10" s="101"/>
      <c r="T10" s="101"/>
      <c r="U10" s="102">
        <v>0</v>
      </c>
      <c r="V10" s="249">
        <v>0</v>
      </c>
      <c r="W10" s="250">
        <f>+SUM(C10:V10)</f>
        <v>294921</v>
      </c>
      <c r="X10" s="133"/>
      <c r="Z10" s="40">
        <f>31740+4044+4044+5520</f>
        <v>45348</v>
      </c>
    </row>
    <row r="11" spans="1:37" s="40" customFormat="1" ht="24" customHeight="1">
      <c r="A11" s="134" t="s">
        <v>81</v>
      </c>
      <c r="B11" s="233" t="s">
        <v>82</v>
      </c>
      <c r="C11" s="252"/>
      <c r="D11" s="101"/>
      <c r="E11" s="101"/>
      <c r="F11" s="102"/>
      <c r="G11" s="254">
        <f>SUM('Concen. de  Recursos Huma'!C8)</f>
        <v>22109.75</v>
      </c>
      <c r="H11" s="251">
        <f>SUM('Concen. de  Recursos Huma'!D8)</f>
        <v>0</v>
      </c>
      <c r="I11" s="251">
        <f>SUM('Concen. de  Recursos Huma'!E8)</f>
        <v>0</v>
      </c>
      <c r="J11" s="253">
        <f>SUM('Concen. de  Recursos Huma'!F8)</f>
        <v>0</v>
      </c>
      <c r="K11" s="255"/>
      <c r="L11" s="104"/>
      <c r="M11" s="104"/>
      <c r="N11" s="227">
        <f>SUM('Proy. de recur.Humanos'!C107)</f>
        <v>2467</v>
      </c>
      <c r="O11" s="103"/>
      <c r="P11" s="105"/>
      <c r="Q11" s="104"/>
      <c r="R11" s="103"/>
      <c r="S11" s="104"/>
      <c r="T11" s="104"/>
      <c r="U11" s="105">
        <v>0</v>
      </c>
      <c r="V11" s="240">
        <v>0</v>
      </c>
      <c r="W11" s="250">
        <f t="shared" ref="W11:W74" si="0">+SUM(C11:V11)</f>
        <v>24576.75</v>
      </c>
      <c r="X11" s="133"/>
    </row>
    <row r="12" spans="1:37" s="40" customFormat="1" ht="24" customHeight="1">
      <c r="A12" s="134" t="s">
        <v>83</v>
      </c>
      <c r="B12" s="233" t="s">
        <v>84</v>
      </c>
      <c r="C12" s="220">
        <f>SUM('Concen. de  Recursos Huma'!C22)</f>
        <v>91840</v>
      </c>
      <c r="D12" s="127"/>
      <c r="E12" s="104"/>
      <c r="F12" s="227"/>
      <c r="G12" s="131"/>
      <c r="H12" s="101"/>
      <c r="I12" s="101"/>
      <c r="J12" s="238"/>
      <c r="K12" s="103"/>
      <c r="L12" s="104"/>
      <c r="M12" s="104"/>
      <c r="N12" s="227"/>
      <c r="O12" s="103"/>
      <c r="P12" s="105"/>
      <c r="Q12" s="104"/>
      <c r="R12" s="103"/>
      <c r="S12" s="104"/>
      <c r="T12" s="104"/>
      <c r="U12" s="105">
        <v>0</v>
      </c>
      <c r="V12" s="240">
        <v>0</v>
      </c>
      <c r="W12" s="250">
        <f t="shared" si="0"/>
        <v>91840</v>
      </c>
      <c r="X12" s="133"/>
    </row>
    <row r="13" spans="1:37" s="40" customFormat="1" ht="24" customHeight="1">
      <c r="A13" s="141">
        <v>51201</v>
      </c>
      <c r="B13" s="234" t="s">
        <v>80</v>
      </c>
      <c r="C13" s="103"/>
      <c r="D13" s="104" t="e">
        <f>SUM('FONDOS PROPIOS'!H35)</f>
        <v>#REF!</v>
      </c>
      <c r="E13" s="104"/>
      <c r="F13" s="227"/>
      <c r="G13" s="103"/>
      <c r="H13" s="104"/>
      <c r="I13" s="104"/>
      <c r="J13" s="227"/>
      <c r="K13" s="103"/>
      <c r="L13" s="104"/>
      <c r="M13" s="104"/>
      <c r="N13" s="227" t="e">
        <f>SUM('120- Libre disp, social'!#REF!)</f>
        <v>#REF!</v>
      </c>
      <c r="O13" s="103"/>
      <c r="P13" s="105"/>
      <c r="Q13" s="104"/>
      <c r="R13" s="103"/>
      <c r="S13" s="104"/>
      <c r="T13" s="104"/>
      <c r="U13" s="105">
        <v>0</v>
      </c>
      <c r="V13" s="240">
        <v>0</v>
      </c>
      <c r="W13" s="250" t="e">
        <f t="shared" si="0"/>
        <v>#REF!</v>
      </c>
      <c r="X13" s="133"/>
    </row>
    <row r="14" spans="1:37" s="40" customFormat="1" ht="24" customHeight="1">
      <c r="A14" s="141">
        <v>51202</v>
      </c>
      <c r="B14" s="234" t="s">
        <v>85</v>
      </c>
      <c r="C14" s="103"/>
      <c r="D14" s="104"/>
      <c r="E14" s="104"/>
      <c r="F14" s="227">
        <f>SUM('FONDOS PROPIOS'!H47)</f>
        <v>32685.360000000001</v>
      </c>
      <c r="G14" s="103" t="e">
        <f>SUM('120 libre Administ.'!#REF!)</f>
        <v>#REF!</v>
      </c>
      <c r="H14" s="104"/>
      <c r="I14" s="104"/>
      <c r="J14" s="227" t="e">
        <f>SUM('120 libre Administ.'!#REF!)</f>
        <v>#REF!</v>
      </c>
      <c r="K14" s="103" t="e">
        <f>SUM('120- Libre disp, social'!#REF!)</f>
        <v>#REF!</v>
      </c>
      <c r="L14" s="104"/>
      <c r="M14" s="104"/>
      <c r="N14" s="227" t="e">
        <f>SUM('120- Libre disp, social'!#REF!)</f>
        <v>#REF!</v>
      </c>
      <c r="O14" s="107"/>
      <c r="P14" s="108"/>
      <c r="Q14" s="106"/>
      <c r="R14" s="103" t="e">
        <f>SUM('INVER.FODES 75% AG 4'!H10)</f>
        <v>#REF!</v>
      </c>
      <c r="S14" s="104"/>
      <c r="T14" s="104"/>
      <c r="U14" s="105">
        <v>0</v>
      </c>
      <c r="V14" s="240">
        <v>0</v>
      </c>
      <c r="W14" s="250" t="e">
        <f t="shared" si="0"/>
        <v>#REF!</v>
      </c>
      <c r="X14" s="133"/>
    </row>
    <row r="15" spans="1:37" s="40" customFormat="1" ht="24" customHeight="1">
      <c r="A15" s="141">
        <v>51203</v>
      </c>
      <c r="B15" s="234" t="s">
        <v>82</v>
      </c>
      <c r="C15" s="103"/>
      <c r="D15" s="104">
        <f>SUM('FONDOS PROPIOS'!H36)</f>
        <v>0</v>
      </c>
      <c r="E15" s="104"/>
      <c r="F15" s="227"/>
      <c r="G15" s="103"/>
      <c r="H15" s="104"/>
      <c r="I15" s="104"/>
      <c r="J15" s="227"/>
      <c r="K15" s="103"/>
      <c r="L15" s="104"/>
      <c r="M15" s="104"/>
      <c r="N15" s="227"/>
      <c r="O15" s="107"/>
      <c r="P15" s="108"/>
      <c r="Q15" s="106"/>
      <c r="R15" s="103"/>
      <c r="S15" s="104"/>
      <c r="T15" s="104"/>
      <c r="U15" s="105"/>
      <c r="V15" s="240"/>
      <c r="W15" s="250">
        <f t="shared" si="0"/>
        <v>0</v>
      </c>
      <c r="X15" s="133"/>
    </row>
    <row r="16" spans="1:37" s="40" customFormat="1" ht="24" customHeight="1">
      <c r="A16" s="134" t="s">
        <v>169</v>
      </c>
      <c r="B16" s="233" t="s">
        <v>170</v>
      </c>
      <c r="C16" s="262">
        <f>SUM('Concen. de  Recursos Huma'!C25)</f>
        <v>16199.75</v>
      </c>
      <c r="D16" s="261">
        <f>SUM('Concen. de  Recursos Huma'!D25)</f>
        <v>0</v>
      </c>
      <c r="E16" s="261">
        <f>SUM('Concen. de  Recursos Huma'!E25)</f>
        <v>0</v>
      </c>
      <c r="F16" s="226">
        <f>SUM('Concen. de  Recursos Huma'!F25)</f>
        <v>0</v>
      </c>
      <c r="G16" s="103"/>
      <c r="H16" s="104"/>
      <c r="I16" s="104"/>
      <c r="J16" s="227"/>
      <c r="K16" s="103"/>
      <c r="L16" s="104"/>
      <c r="M16" s="104"/>
      <c r="N16" s="227">
        <f>SUM('Proy. de recur.Humanos'!D107)</f>
        <v>2467</v>
      </c>
      <c r="O16" s="103"/>
      <c r="P16" s="105"/>
      <c r="Q16" s="104"/>
      <c r="R16" s="103"/>
      <c r="S16" s="104"/>
      <c r="T16" s="104"/>
      <c r="U16" s="105"/>
      <c r="V16" s="240"/>
      <c r="W16" s="250">
        <f t="shared" si="0"/>
        <v>18666.75</v>
      </c>
      <c r="X16" s="133"/>
    </row>
    <row r="17" spans="1:37" s="40" customFormat="1" ht="24" customHeight="1">
      <c r="A17" s="134" t="s">
        <v>303</v>
      </c>
      <c r="B17" s="233" t="s">
        <v>38</v>
      </c>
      <c r="C17" s="103"/>
      <c r="D17" s="104"/>
      <c r="E17" s="46"/>
      <c r="F17" s="227"/>
      <c r="G17" s="103"/>
      <c r="H17" s="104" t="e">
        <f>SUM('120 libre Administ.'!#REF!)</f>
        <v>#REF!</v>
      </c>
      <c r="I17" s="104"/>
      <c r="J17" s="227"/>
      <c r="K17" s="103"/>
      <c r="L17" s="104"/>
      <c r="M17" s="104"/>
      <c r="N17" s="227"/>
      <c r="O17" s="103"/>
      <c r="P17" s="105"/>
      <c r="Q17" s="104"/>
      <c r="R17" s="103"/>
      <c r="S17" s="104"/>
      <c r="T17" s="104"/>
      <c r="U17" s="105"/>
      <c r="V17" s="240"/>
      <c r="W17" s="250" t="e">
        <f t="shared" si="0"/>
        <v>#REF!</v>
      </c>
      <c r="X17" s="133"/>
    </row>
    <row r="18" spans="1:37" s="40" customFormat="1" ht="24" customHeight="1">
      <c r="A18" s="141">
        <v>51302</v>
      </c>
      <c r="B18" s="234" t="s">
        <v>88</v>
      </c>
      <c r="C18" s="103"/>
      <c r="D18" s="104"/>
      <c r="E18" s="104"/>
      <c r="F18" s="227"/>
      <c r="G18" s="103"/>
      <c r="H18" s="104"/>
      <c r="I18" s="104"/>
      <c r="J18" s="227"/>
      <c r="K18" s="103"/>
      <c r="L18" s="104"/>
      <c r="M18" s="104"/>
      <c r="N18" s="227"/>
      <c r="O18" s="103"/>
      <c r="P18" s="105"/>
      <c r="Q18" s="104"/>
      <c r="R18" s="103"/>
      <c r="S18" s="104"/>
      <c r="T18" s="104"/>
      <c r="U18" s="105">
        <v>0</v>
      </c>
      <c r="V18" s="240">
        <v>0</v>
      </c>
      <c r="W18" s="250">
        <f t="shared" si="0"/>
        <v>0</v>
      </c>
      <c r="X18" s="133"/>
    </row>
    <row r="19" spans="1:37" s="40" customFormat="1" ht="24" customHeight="1">
      <c r="A19" s="134" t="s">
        <v>89</v>
      </c>
      <c r="B19" s="233" t="s">
        <v>90</v>
      </c>
      <c r="C19" s="262">
        <f>SUM('Concen. de  Recursos Huma'!C27)</f>
        <v>13473.43</v>
      </c>
      <c r="D19" s="264">
        <f>SUM('Concen. de  Recursos Huma'!D27)</f>
        <v>0</v>
      </c>
      <c r="E19" s="264">
        <f>SUM('Concen. de  Recursos Huma'!E27)</f>
        <v>0</v>
      </c>
      <c r="F19" s="263">
        <f>SUM('Concen. de  Recursos Huma'!F27)</f>
        <v>0</v>
      </c>
      <c r="G19" s="262">
        <f>SUM('Concen. de  Recursos Huma'!C12)</f>
        <v>14566.0375</v>
      </c>
      <c r="H19" s="261">
        <f>SUM('Concen. de  Recursos Huma'!D12)</f>
        <v>0</v>
      </c>
      <c r="I19" s="261">
        <f>SUM('Concen. de  Recursos Huma'!E12)</f>
        <v>0</v>
      </c>
      <c r="J19" s="263">
        <f>SUM('Concen. de  Recursos Huma'!F12)</f>
        <v>0</v>
      </c>
      <c r="K19" s="103"/>
      <c r="L19" s="104"/>
      <c r="M19" s="104"/>
      <c r="N19" s="227">
        <f>SUM('Proy. de recur.Humanos'!L105:M105)</f>
        <v>2516.34</v>
      </c>
      <c r="O19" s="103"/>
      <c r="P19" s="105"/>
      <c r="Q19" s="104"/>
      <c r="R19" s="103"/>
      <c r="S19" s="104"/>
      <c r="T19" s="104"/>
      <c r="U19" s="105">
        <v>0</v>
      </c>
      <c r="V19" s="240">
        <v>0</v>
      </c>
      <c r="W19" s="250">
        <f t="shared" si="0"/>
        <v>30555.807499999999</v>
      </c>
      <c r="X19" s="133"/>
    </row>
    <row r="20" spans="1:37" s="40" customFormat="1" ht="24" customHeight="1">
      <c r="A20" s="134" t="s">
        <v>91</v>
      </c>
      <c r="B20" s="233" t="s">
        <v>92</v>
      </c>
      <c r="C20" s="266">
        <f>SUM('Concen. de  Recursos Huma'!C28)</f>
        <v>13156.48</v>
      </c>
      <c r="D20" s="265">
        <f>SUM('Concen. de  Recursos Huma'!D28)</f>
        <v>0</v>
      </c>
      <c r="E20" s="265">
        <f>SUM('Concen. de  Recursos Huma'!E28)</f>
        <v>0</v>
      </c>
      <c r="F20" s="226">
        <f>SUM('Concen. de  Recursos Huma'!F28)</f>
        <v>0</v>
      </c>
      <c r="G20" s="266">
        <f>SUM('Concen. de  Recursos Huma'!C13)</f>
        <v>16360.05625</v>
      </c>
      <c r="H20" s="267">
        <f>SUM('Concen. de  Recursos Huma'!D13)</f>
        <v>0</v>
      </c>
      <c r="I20" s="267">
        <f>SUM('Concen. de  Recursos Huma'!E13)</f>
        <v>0</v>
      </c>
      <c r="J20" s="226">
        <f>SUM('Concen. de  Recursos Huma'!F13)</f>
        <v>0</v>
      </c>
      <c r="K20" s="103"/>
      <c r="L20" s="104"/>
      <c r="M20" s="104"/>
      <c r="N20" s="227">
        <f>SUM('Proy. de recur.Humanos'!Q105)</f>
        <v>2294.31</v>
      </c>
      <c r="O20" s="103"/>
      <c r="P20" s="105"/>
      <c r="Q20" s="104"/>
      <c r="R20" s="103"/>
      <c r="S20" s="104"/>
      <c r="T20" s="104"/>
      <c r="U20" s="105">
        <v>0</v>
      </c>
      <c r="V20" s="240">
        <v>0</v>
      </c>
      <c r="W20" s="250">
        <f t="shared" si="0"/>
        <v>31810.846249999999</v>
      </c>
      <c r="X20" s="133"/>
    </row>
    <row r="21" spans="1:37" s="40" customFormat="1" ht="24" customHeight="1">
      <c r="A21" s="141">
        <v>51901</v>
      </c>
      <c r="B21" s="234" t="s">
        <v>159</v>
      </c>
      <c r="C21" s="103"/>
      <c r="D21" s="104"/>
      <c r="E21" s="104"/>
      <c r="F21" s="227"/>
      <c r="G21" s="103"/>
      <c r="H21" s="104"/>
      <c r="I21" s="104"/>
      <c r="J21" s="227"/>
      <c r="K21" s="103"/>
      <c r="L21" s="104"/>
      <c r="M21" s="104"/>
      <c r="N21" s="227"/>
      <c r="O21" s="103"/>
      <c r="P21" s="105"/>
      <c r="Q21" s="104"/>
      <c r="R21" s="103"/>
      <c r="S21" s="104"/>
      <c r="T21" s="104"/>
      <c r="U21" s="105">
        <v>0</v>
      </c>
      <c r="V21" s="240">
        <v>0</v>
      </c>
      <c r="W21" s="250">
        <f t="shared" si="0"/>
        <v>0</v>
      </c>
      <c r="X21" s="133"/>
    </row>
    <row r="22" spans="1:37" s="40" customFormat="1" ht="24" customHeight="1">
      <c r="A22" s="141">
        <v>51999</v>
      </c>
      <c r="B22" s="234" t="s">
        <v>93</v>
      </c>
      <c r="C22" s="103"/>
      <c r="D22" s="104"/>
      <c r="E22" s="104"/>
      <c r="F22" s="227"/>
      <c r="G22" s="103"/>
      <c r="H22" s="104"/>
      <c r="I22" s="104"/>
      <c r="J22" s="227"/>
      <c r="K22" s="103"/>
      <c r="L22" s="104"/>
      <c r="M22" s="104"/>
      <c r="N22" s="227"/>
      <c r="O22" s="103"/>
      <c r="P22" s="105"/>
      <c r="Q22" s="104"/>
      <c r="R22" s="103"/>
      <c r="S22" s="104"/>
      <c r="T22" s="104"/>
      <c r="U22" s="105"/>
      <c r="V22" s="240"/>
      <c r="W22" s="250">
        <f t="shared" si="0"/>
        <v>0</v>
      </c>
      <c r="X22" s="133"/>
    </row>
    <row r="23" spans="1:37" s="40" customFormat="1" ht="24" customHeight="1">
      <c r="A23" s="141">
        <v>54101</v>
      </c>
      <c r="B23" s="234" t="s">
        <v>127</v>
      </c>
      <c r="C23" s="103">
        <f>SUM('FONDOS PROPIOS'!H17)</f>
        <v>5000</v>
      </c>
      <c r="D23" s="104"/>
      <c r="E23" s="104"/>
      <c r="F23" s="227"/>
      <c r="G23" s="103">
        <f>SUM('120 libre Administ.'!H18)</f>
        <v>2000</v>
      </c>
      <c r="H23" s="104"/>
      <c r="I23" s="104"/>
      <c r="J23" s="227"/>
      <c r="K23" s="103"/>
      <c r="L23" s="104"/>
      <c r="M23" s="104"/>
      <c r="N23" s="227">
        <f>SUM('120- Libre disp, social'!H18)</f>
        <v>2215.3200000000002</v>
      </c>
      <c r="O23" s="103"/>
      <c r="P23" s="105"/>
      <c r="Q23" s="104"/>
      <c r="R23" s="103" t="e">
        <f>SUM('INVER.FODES 75% AG 4'!H11)</f>
        <v>#REF!</v>
      </c>
      <c r="S23" s="104"/>
      <c r="T23" s="104"/>
      <c r="U23" s="105"/>
      <c r="V23" s="240"/>
      <c r="W23" s="250" t="e">
        <f t="shared" si="0"/>
        <v>#REF!</v>
      </c>
      <c r="X23" s="133"/>
    </row>
    <row r="24" spans="1:37" s="40" customFormat="1" ht="24" customHeight="1">
      <c r="A24" s="141">
        <v>54103</v>
      </c>
      <c r="B24" s="234" t="s">
        <v>128</v>
      </c>
      <c r="C24" s="107"/>
      <c r="D24" s="106"/>
      <c r="E24" s="106"/>
      <c r="F24" s="228">
        <f>SUM('FONDOS PROPIOS'!H50)</f>
        <v>2000</v>
      </c>
      <c r="G24" s="107"/>
      <c r="H24" s="106"/>
      <c r="I24" s="106"/>
      <c r="J24" s="228"/>
      <c r="K24" s="107"/>
      <c r="L24" s="106"/>
      <c r="M24" s="106"/>
      <c r="N24" s="228">
        <f>SUM('120- Libre disp, social'!H19)</f>
        <v>0</v>
      </c>
      <c r="O24" s="107"/>
      <c r="P24" s="108"/>
      <c r="Q24" s="106"/>
      <c r="R24" s="107"/>
      <c r="S24" s="106"/>
      <c r="T24" s="106"/>
      <c r="U24" s="108"/>
      <c r="V24" s="241"/>
      <c r="W24" s="250">
        <f t="shared" si="0"/>
        <v>2000</v>
      </c>
      <c r="X24" s="46"/>
    </row>
    <row r="25" spans="1:37" s="40" customFormat="1" ht="24" customHeight="1">
      <c r="A25" s="141">
        <v>54104</v>
      </c>
      <c r="B25" s="234" t="s">
        <v>129</v>
      </c>
      <c r="C25" s="107"/>
      <c r="D25" s="106"/>
      <c r="E25" s="106"/>
      <c r="F25" s="228"/>
      <c r="G25" s="107">
        <f>SUM('120 libre Administ.'!H19)</f>
        <v>500</v>
      </c>
      <c r="H25" s="106"/>
      <c r="I25" s="106"/>
      <c r="J25" s="228"/>
      <c r="K25" s="107" t="e">
        <f>SUM('120- Libre disp, social'!#REF!)</f>
        <v>#REF!</v>
      </c>
      <c r="L25" s="106"/>
      <c r="M25" s="106"/>
      <c r="N25" s="228">
        <f>SUM('120- Libre disp, social'!H20)</f>
        <v>1500</v>
      </c>
      <c r="O25" s="107"/>
      <c r="P25" s="108"/>
      <c r="Q25" s="106"/>
      <c r="R25" s="107"/>
      <c r="S25" s="106"/>
      <c r="T25" s="106"/>
      <c r="U25" s="108"/>
      <c r="V25" s="241"/>
      <c r="W25" s="250" t="e">
        <f t="shared" si="0"/>
        <v>#REF!</v>
      </c>
      <c r="X25" s="46"/>
    </row>
    <row r="26" spans="1:37" s="40" customFormat="1" ht="24" customHeight="1">
      <c r="A26" s="141">
        <v>54105</v>
      </c>
      <c r="B26" s="234" t="s">
        <v>130</v>
      </c>
      <c r="C26" s="107"/>
      <c r="D26" s="106"/>
      <c r="E26" s="106"/>
      <c r="F26" s="228"/>
      <c r="G26" s="107">
        <f>SUM('120 libre Administ.'!H20)</f>
        <v>2500</v>
      </c>
      <c r="H26" s="106" t="e">
        <f>SUM('120 libre Administ.'!#REF!)</f>
        <v>#REF!</v>
      </c>
      <c r="I26" s="106" t="e">
        <f>SUM('120 libre Administ.'!#REF!)</f>
        <v>#REF!</v>
      </c>
      <c r="J26" s="228" t="e">
        <f>SUM('120 libre Administ.'!#REF!)</f>
        <v>#REF!</v>
      </c>
      <c r="K26" s="107"/>
      <c r="L26" s="106"/>
      <c r="M26" s="106"/>
      <c r="N26" s="228">
        <f>SUM('120- Libre disp, social'!H21)</f>
        <v>0</v>
      </c>
      <c r="O26" s="107"/>
      <c r="P26" s="108"/>
      <c r="Q26" s="106"/>
      <c r="R26" s="107" t="e">
        <f>SUM('INVER.FODES 75% AG 4'!H12)</f>
        <v>#REF!</v>
      </c>
      <c r="S26" s="106"/>
      <c r="T26" s="106"/>
      <c r="U26" s="108"/>
      <c r="V26" s="241"/>
      <c r="W26" s="250" t="e">
        <f t="shared" si="0"/>
        <v>#REF!</v>
      </c>
      <c r="X26" s="46"/>
    </row>
    <row r="27" spans="1:37" s="40" customFormat="1" ht="24" customHeight="1">
      <c r="A27" s="141">
        <v>54107</v>
      </c>
      <c r="B27" s="234" t="s">
        <v>131</v>
      </c>
      <c r="C27" s="107"/>
      <c r="D27" s="106"/>
      <c r="E27" s="106"/>
      <c r="F27" s="228">
        <f>SUM('FONDOS PROPIOS'!H51)</f>
        <v>650</v>
      </c>
      <c r="G27" s="107">
        <f>SUM('120 libre Administ.'!H21)</f>
        <v>2250</v>
      </c>
      <c r="H27" s="106"/>
      <c r="I27" s="106"/>
      <c r="J27" s="228" t="e">
        <f>SUM('120 libre Administ.'!#REF!)</f>
        <v>#REF!</v>
      </c>
      <c r="K27" s="107" t="e">
        <f>SUM('120- Libre disp, social'!#REF!)</f>
        <v>#REF!</v>
      </c>
      <c r="L27" s="106"/>
      <c r="M27" s="106"/>
      <c r="N27" s="228">
        <f>SUM('120- Libre disp, social'!H23)</f>
        <v>5500</v>
      </c>
      <c r="O27" s="107"/>
      <c r="P27" s="108"/>
      <c r="Q27" s="106"/>
      <c r="R27" s="107">
        <f>SUM('INVER.FODES 75% AG 4'!H18)</f>
        <v>0</v>
      </c>
      <c r="S27" s="106"/>
      <c r="T27" s="106"/>
      <c r="U27" s="108"/>
      <c r="V27" s="241"/>
      <c r="W27" s="250" t="e">
        <f t="shared" si="0"/>
        <v>#REF!</v>
      </c>
      <c r="X27" s="46"/>
    </row>
    <row r="28" spans="1:37" s="40" customFormat="1" ht="24" customHeight="1">
      <c r="A28" s="141">
        <v>54108</v>
      </c>
      <c r="B28" s="234" t="s">
        <v>132</v>
      </c>
      <c r="C28" s="107"/>
      <c r="D28" s="106"/>
      <c r="E28" s="106"/>
      <c r="F28" s="228"/>
      <c r="G28" s="107"/>
      <c r="H28" s="106"/>
      <c r="I28" s="106"/>
      <c r="J28" s="228"/>
      <c r="K28" s="107"/>
      <c r="L28" s="106"/>
      <c r="M28" s="106"/>
      <c r="N28" s="228"/>
      <c r="O28" s="107"/>
      <c r="P28" s="108"/>
      <c r="Q28" s="106"/>
      <c r="R28" s="107"/>
      <c r="S28" s="106"/>
      <c r="T28" s="106"/>
      <c r="U28" s="108"/>
      <c r="V28" s="241"/>
      <c r="W28" s="250">
        <f t="shared" si="0"/>
        <v>0</v>
      </c>
      <c r="X28" s="46"/>
    </row>
    <row r="29" spans="1:37" s="40" customFormat="1" ht="24" customHeight="1">
      <c r="A29" s="141">
        <v>54109</v>
      </c>
      <c r="B29" s="234" t="s">
        <v>133</v>
      </c>
      <c r="C29" s="107"/>
      <c r="D29" s="106"/>
      <c r="E29" s="106"/>
      <c r="F29" s="228"/>
      <c r="G29" s="107">
        <f>SUM('120 libre Administ.'!H22)</f>
        <v>6000</v>
      </c>
      <c r="H29" s="106"/>
      <c r="I29" s="106"/>
      <c r="J29" s="228"/>
      <c r="K29" s="107"/>
      <c r="L29" s="106"/>
      <c r="M29" s="106"/>
      <c r="N29" s="228">
        <f>SUM('120- Libre disp, social'!H24)</f>
        <v>1500</v>
      </c>
      <c r="O29" s="107"/>
      <c r="P29" s="108"/>
      <c r="Q29" s="106"/>
      <c r="R29" s="107"/>
      <c r="S29" s="106"/>
      <c r="T29" s="106"/>
      <c r="U29" s="108"/>
      <c r="V29" s="241"/>
      <c r="W29" s="250">
        <f t="shared" si="0"/>
        <v>7500</v>
      </c>
      <c r="X29" s="46"/>
    </row>
    <row r="30" spans="1:37" s="40" customFormat="1" ht="24" customHeight="1">
      <c r="A30" s="141">
        <v>54110</v>
      </c>
      <c r="B30" s="235" t="s">
        <v>134</v>
      </c>
      <c r="C30" s="107"/>
      <c r="D30" s="106"/>
      <c r="E30" s="106"/>
      <c r="F30" s="228"/>
      <c r="G30" s="107">
        <f>SUM('120 libre Administ.'!H23)</f>
        <v>20000</v>
      </c>
      <c r="H30" s="106"/>
      <c r="I30" s="106"/>
      <c r="J30" s="228"/>
      <c r="K30" s="107"/>
      <c r="L30" s="106"/>
      <c r="M30" s="106"/>
      <c r="N30" s="228">
        <f>SUM('120- Libre disp, social'!H25)</f>
        <v>0</v>
      </c>
      <c r="O30" s="107"/>
      <c r="P30" s="108"/>
      <c r="Q30" s="106"/>
      <c r="R30" s="107">
        <f>SUM('INVER.FODES 75% AG 4'!H19)</f>
        <v>0</v>
      </c>
      <c r="S30" s="106"/>
      <c r="T30" s="106"/>
      <c r="U30" s="108"/>
      <c r="V30" s="241"/>
      <c r="W30" s="250">
        <f t="shared" si="0"/>
        <v>20000</v>
      </c>
      <c r="X30" s="46"/>
    </row>
    <row r="31" spans="1:37" s="40" customFormat="1" ht="24" customHeight="1">
      <c r="A31" s="141">
        <v>54111</v>
      </c>
      <c r="B31" s="234" t="s">
        <v>420</v>
      </c>
      <c r="C31" s="107"/>
      <c r="D31" s="106"/>
      <c r="E31" s="106"/>
      <c r="F31" s="228">
        <f>SUM('FONDOS PROPIOS'!H52)</f>
        <v>800</v>
      </c>
      <c r="G31" s="107"/>
      <c r="H31" s="106"/>
      <c r="I31" s="106"/>
      <c r="J31" s="228"/>
      <c r="K31" s="107" t="e">
        <f>SUM('120- Libre disp, social'!#REF!)</f>
        <v>#REF!</v>
      </c>
      <c r="L31" s="106"/>
      <c r="M31" s="106"/>
      <c r="N31" s="228">
        <f>SUM('120- Libre disp, social'!H26)</f>
        <v>4100</v>
      </c>
      <c r="O31" s="107"/>
      <c r="P31" s="108"/>
      <c r="Q31" s="106"/>
      <c r="R31" s="107">
        <f>SUM('INVER.FODES 75% AG 4'!H20)</f>
        <v>0</v>
      </c>
      <c r="S31" s="106"/>
      <c r="T31" s="106"/>
      <c r="U31" s="108"/>
      <c r="V31" s="241"/>
      <c r="W31" s="250" t="e">
        <f t="shared" si="0"/>
        <v>#REF!</v>
      </c>
      <c r="X31" s="46"/>
    </row>
    <row r="32" spans="1:37" s="40" customFormat="1" ht="24" customHeight="1">
      <c r="A32" s="141">
        <v>54112</v>
      </c>
      <c r="B32" s="234" t="s">
        <v>136</v>
      </c>
      <c r="C32" s="107"/>
      <c r="D32" s="106"/>
      <c r="E32" s="106"/>
      <c r="F32" s="228">
        <f>SUM('FONDOS PROPIOS'!H53)</f>
        <v>1500</v>
      </c>
      <c r="G32" s="107"/>
      <c r="H32" s="106"/>
      <c r="I32" s="106"/>
      <c r="J32" s="228"/>
      <c r="K32" s="107" t="e">
        <f>SUM('120- Libre disp, social'!#REF!)</f>
        <v>#REF!</v>
      </c>
      <c r="L32" s="106"/>
      <c r="M32" s="106"/>
      <c r="N32" s="228">
        <f>SUM('120- Libre disp, social'!H27)</f>
        <v>2100</v>
      </c>
      <c r="O32" s="107"/>
      <c r="P32" s="108"/>
      <c r="Q32" s="106"/>
      <c r="R32" s="107">
        <f>SUM('INVER.FODES 75% AG 4'!H21)</f>
        <v>0</v>
      </c>
      <c r="S32" s="106"/>
      <c r="T32" s="106"/>
      <c r="U32" s="108"/>
      <c r="V32" s="241"/>
      <c r="W32" s="250" t="e">
        <f t="shared" si="0"/>
        <v>#REF!</v>
      </c>
      <c r="X32" s="46"/>
    </row>
    <row r="33" spans="1:37" s="40" customFormat="1" ht="24" customHeight="1">
      <c r="A33" s="141">
        <v>54114</v>
      </c>
      <c r="B33" s="234" t="s">
        <v>137</v>
      </c>
      <c r="C33" s="107"/>
      <c r="D33" s="106"/>
      <c r="E33" s="106"/>
      <c r="F33" s="228"/>
      <c r="G33" s="107">
        <f>SUM('120 libre Administ.'!H26)</f>
        <v>1000</v>
      </c>
      <c r="H33" s="106" t="e">
        <f>SUM('120 libre Administ.'!#REF!)</f>
        <v>#REF!</v>
      </c>
      <c r="I33" s="106" t="e">
        <f>SUM('120 libre Administ.'!#REF!)</f>
        <v>#REF!</v>
      </c>
      <c r="J33" s="228" t="e">
        <f>SUM('120 libre Administ.'!#REF!)</f>
        <v>#REF!</v>
      </c>
      <c r="K33" s="107"/>
      <c r="L33" s="106"/>
      <c r="M33" s="106"/>
      <c r="N33" s="228">
        <f>SUM('120- Libre disp, social'!H28)</f>
        <v>0</v>
      </c>
      <c r="O33" s="107"/>
      <c r="P33" s="108"/>
      <c r="Q33" s="106"/>
      <c r="R33" s="107"/>
      <c r="S33" s="106"/>
      <c r="T33" s="106"/>
      <c r="U33" s="108"/>
      <c r="V33" s="241"/>
      <c r="W33" s="250" t="e">
        <f t="shared" si="0"/>
        <v>#REF!</v>
      </c>
      <c r="X33" s="46"/>
    </row>
    <row r="34" spans="1:37" s="40" customFormat="1" ht="24" customHeight="1">
      <c r="A34" s="141">
        <v>54115</v>
      </c>
      <c r="B34" s="234" t="s">
        <v>138</v>
      </c>
      <c r="C34" s="107"/>
      <c r="D34" s="106"/>
      <c r="E34" s="106"/>
      <c r="F34" s="228"/>
      <c r="G34" s="107">
        <f>SUM('120 libre Administ.'!H27)</f>
        <v>1100</v>
      </c>
      <c r="H34" s="106" t="e">
        <f>SUM('120 libre Administ.'!#REF!)</f>
        <v>#REF!</v>
      </c>
      <c r="I34" s="106" t="e">
        <f>SUM('120 libre Administ.'!#REF!)</f>
        <v>#REF!</v>
      </c>
      <c r="J34" s="228" t="e">
        <f>SUM('120 libre Administ.'!#REF!)</f>
        <v>#REF!</v>
      </c>
      <c r="K34" s="107"/>
      <c r="L34" s="106"/>
      <c r="M34" s="106"/>
      <c r="N34" s="228">
        <f>SUM('120- Libre disp, social'!H29)</f>
        <v>0</v>
      </c>
      <c r="O34" s="107"/>
      <c r="P34" s="108"/>
      <c r="Q34" s="106"/>
      <c r="R34" s="107"/>
      <c r="S34" s="106"/>
      <c r="T34" s="106"/>
      <c r="U34" s="108"/>
      <c r="V34" s="241"/>
      <c r="W34" s="250" t="e">
        <f t="shared" si="0"/>
        <v>#REF!</v>
      </c>
      <c r="X34" s="46"/>
    </row>
    <row r="35" spans="1:37" s="40" customFormat="1" ht="24" customHeight="1">
      <c r="A35" s="141">
        <v>54117</v>
      </c>
      <c r="B35" s="234" t="s">
        <v>139</v>
      </c>
      <c r="C35" s="107"/>
      <c r="D35" s="106"/>
      <c r="E35" s="106"/>
      <c r="F35" s="228"/>
      <c r="G35" s="107"/>
      <c r="H35" s="106"/>
      <c r="I35" s="106"/>
      <c r="J35" s="228"/>
      <c r="K35" s="107"/>
      <c r="L35" s="106"/>
      <c r="M35" s="106"/>
      <c r="N35" s="228">
        <f>SUM('120- Libre disp, social'!H30)</f>
        <v>1966.1</v>
      </c>
      <c r="O35" s="107"/>
      <c r="P35" s="108"/>
      <c r="Q35" s="106"/>
      <c r="R35" s="107"/>
      <c r="S35" s="106"/>
      <c r="T35" s="106"/>
      <c r="U35" s="108"/>
      <c r="V35" s="241"/>
      <c r="W35" s="250">
        <f t="shared" si="0"/>
        <v>1966.1</v>
      </c>
      <c r="X35" s="46"/>
    </row>
    <row r="36" spans="1:37" s="40" customFormat="1" ht="24" customHeight="1">
      <c r="A36" s="141">
        <v>54118</v>
      </c>
      <c r="B36" s="234" t="s">
        <v>140</v>
      </c>
      <c r="C36" s="107"/>
      <c r="D36" s="106"/>
      <c r="E36" s="106"/>
      <c r="F36" s="228">
        <f>SUM('FONDOS PROPIOS'!H54)</f>
        <v>1000</v>
      </c>
      <c r="G36" s="107">
        <f>SUM('120 libre Administ.'!H28)</f>
        <v>300</v>
      </c>
      <c r="H36" s="106"/>
      <c r="I36" s="106"/>
      <c r="J36" s="228" t="e">
        <f>SUM('120 libre Administ.'!#REF!)</f>
        <v>#REF!</v>
      </c>
      <c r="K36" s="107" t="e">
        <f>SUM('120- Libre disp, social'!#REF!)</f>
        <v>#REF!</v>
      </c>
      <c r="L36" s="106"/>
      <c r="M36" s="106"/>
      <c r="N36" s="228">
        <f>SUM('120- Libre disp, social'!H31)</f>
        <v>1600</v>
      </c>
      <c r="O36" s="107"/>
      <c r="P36" s="108"/>
      <c r="Q36" s="106"/>
      <c r="R36" s="107">
        <f>SUM('INVER.FODES 75% AG 4'!H22)</f>
        <v>0</v>
      </c>
      <c r="S36" s="106"/>
      <c r="T36" s="106"/>
      <c r="U36" s="108"/>
      <c r="V36" s="241"/>
      <c r="W36" s="250" t="e">
        <f t="shared" si="0"/>
        <v>#REF!</v>
      </c>
      <c r="X36" s="46"/>
    </row>
    <row r="37" spans="1:37" s="40" customFormat="1" ht="24" customHeight="1">
      <c r="A37" s="141">
        <v>54119</v>
      </c>
      <c r="B37" s="234" t="s">
        <v>141</v>
      </c>
      <c r="C37" s="107"/>
      <c r="D37" s="106"/>
      <c r="E37" s="106"/>
      <c r="F37" s="228">
        <f>SUM('FONDOS PROPIOS'!H55)</f>
        <v>1000</v>
      </c>
      <c r="G37" s="107">
        <f>SUM('120 libre Administ.'!H29)</f>
        <v>1000</v>
      </c>
      <c r="H37" s="106"/>
      <c r="I37" s="106"/>
      <c r="J37" s="228" t="e">
        <f>SUM('120 libre Administ.'!#REF!)</f>
        <v>#REF!</v>
      </c>
      <c r="K37" s="107"/>
      <c r="L37" s="106"/>
      <c r="M37" s="106"/>
      <c r="N37" s="228">
        <f>SUM('120- Libre disp, social'!H32)</f>
        <v>0</v>
      </c>
      <c r="O37" s="107"/>
      <c r="P37" s="108"/>
      <c r="Q37" s="106"/>
      <c r="R37" s="107"/>
      <c r="S37" s="106"/>
      <c r="T37" s="106"/>
      <c r="U37" s="108"/>
      <c r="V37" s="241"/>
      <c r="W37" s="250" t="e">
        <f t="shared" si="0"/>
        <v>#REF!</v>
      </c>
      <c r="X37" s="46"/>
    </row>
    <row r="38" spans="1:37" s="40" customFormat="1" ht="24" customHeight="1">
      <c r="A38" s="141">
        <v>54121</v>
      </c>
      <c r="B38" s="234" t="s">
        <v>142</v>
      </c>
      <c r="C38" s="107"/>
      <c r="D38" s="106"/>
      <c r="E38" s="106"/>
      <c r="F38" s="228"/>
      <c r="G38" s="107"/>
      <c r="H38" s="106" t="e">
        <f>SUM('120 libre Administ.'!#REF!)</f>
        <v>#REF!</v>
      </c>
      <c r="I38" s="106"/>
      <c r="J38" s="228"/>
      <c r="K38" s="107"/>
      <c r="L38" s="106"/>
      <c r="M38" s="106"/>
      <c r="N38" s="228"/>
      <c r="O38" s="107"/>
      <c r="P38" s="108"/>
      <c r="Q38" s="106"/>
      <c r="R38" s="107"/>
      <c r="S38" s="106"/>
      <c r="T38" s="106"/>
      <c r="U38" s="108"/>
      <c r="V38" s="241"/>
      <c r="W38" s="250" t="e">
        <f t="shared" si="0"/>
        <v>#REF!</v>
      </c>
      <c r="X38" s="46"/>
    </row>
    <row r="39" spans="1:37" s="40" customFormat="1" ht="24" customHeight="1">
      <c r="A39" s="141">
        <v>54199</v>
      </c>
      <c r="B39" s="234" t="s">
        <v>389</v>
      </c>
      <c r="C39" s="107">
        <f>SUM('FONDOS PROPIOS'!H19)</f>
        <v>3000</v>
      </c>
      <c r="D39" s="106"/>
      <c r="E39" s="106"/>
      <c r="F39" s="228">
        <f>SUM('FONDOS PROPIOS'!H56)</f>
        <v>2400</v>
      </c>
      <c r="G39" s="107">
        <f>SUM('120 libre Administ.'!H31)</f>
        <v>7500</v>
      </c>
      <c r="H39" s="106" t="e">
        <f>SUM('120 libre Administ.'!#REF!)</f>
        <v>#REF!</v>
      </c>
      <c r="I39" s="106"/>
      <c r="J39" s="228" t="e">
        <f>SUM('120 libre Administ.'!#REF!)</f>
        <v>#REF!</v>
      </c>
      <c r="K39" s="107" t="e">
        <f>SUM('120- Libre disp, social'!#REF!)</f>
        <v>#REF!</v>
      </c>
      <c r="L39" s="106"/>
      <c r="M39" s="106"/>
      <c r="N39" s="228">
        <f>SUM('120- Libre disp, social'!H33)</f>
        <v>2470</v>
      </c>
      <c r="O39" s="107"/>
      <c r="P39" s="108"/>
      <c r="Q39" s="106"/>
      <c r="R39" s="107">
        <f>SUM('INVER.FODES 75% AG 4'!H23)</f>
        <v>0</v>
      </c>
      <c r="S39" s="106"/>
      <c r="T39" s="106"/>
      <c r="U39" s="108"/>
      <c r="V39" s="241"/>
      <c r="W39" s="250" t="e">
        <f t="shared" si="0"/>
        <v>#REF!</v>
      </c>
      <c r="X39" s="46"/>
    </row>
    <row r="40" spans="1:37" s="40" customFormat="1" ht="24" customHeight="1">
      <c r="A40" s="141">
        <v>54201</v>
      </c>
      <c r="B40" s="234" t="s">
        <v>144</v>
      </c>
      <c r="C40" s="107"/>
      <c r="D40" s="106"/>
      <c r="E40" s="106"/>
      <c r="F40" s="228"/>
      <c r="G40" s="107">
        <f>SUM('120 libre Administ.'!H32)</f>
        <v>5000</v>
      </c>
      <c r="H40" s="106"/>
      <c r="I40" s="106"/>
      <c r="J40" s="228"/>
      <c r="K40" s="107"/>
      <c r="L40" s="106"/>
      <c r="M40" s="106"/>
      <c r="N40" s="228">
        <f>SUM('120- Libre disp, social'!H34)</f>
        <v>276</v>
      </c>
      <c r="O40" s="107"/>
      <c r="P40" s="108"/>
      <c r="Q40" s="106"/>
      <c r="R40" s="107"/>
      <c r="S40" s="106"/>
      <c r="T40" s="106"/>
      <c r="U40" s="108"/>
      <c r="V40" s="241"/>
      <c r="W40" s="250">
        <f t="shared" si="0"/>
        <v>5276</v>
      </c>
      <c r="X40" s="46"/>
    </row>
    <row r="41" spans="1:37" s="40" customFormat="1" ht="24" customHeight="1">
      <c r="A41" s="141">
        <v>54202</v>
      </c>
      <c r="B41" s="234" t="s">
        <v>145</v>
      </c>
      <c r="C41" s="107"/>
      <c r="D41" s="106"/>
      <c r="E41" s="106"/>
      <c r="F41" s="228">
        <v>200</v>
      </c>
      <c r="G41" s="107">
        <f>SUM('120 libre Administ.'!H33)</f>
        <v>2000</v>
      </c>
      <c r="H41" s="106"/>
      <c r="I41" s="106"/>
      <c r="J41" s="228"/>
      <c r="K41" s="107"/>
      <c r="L41" s="106"/>
      <c r="M41" s="106"/>
      <c r="N41" s="228">
        <f>SUM('120- Libre disp, social'!H35)</f>
        <v>2160</v>
      </c>
      <c r="O41" s="107"/>
      <c r="P41" s="108"/>
      <c r="Q41" s="106"/>
      <c r="R41" s="107"/>
      <c r="S41" s="106"/>
      <c r="T41" s="106"/>
      <c r="U41" s="108"/>
      <c r="V41" s="241"/>
      <c r="W41" s="250">
        <f t="shared" si="0"/>
        <v>4360</v>
      </c>
      <c r="X41" s="46"/>
    </row>
    <row r="42" spans="1:37" s="40" customFormat="1" ht="24" customHeight="1">
      <c r="A42" s="141">
        <v>54203</v>
      </c>
      <c r="B42" s="234" t="s">
        <v>146</v>
      </c>
      <c r="C42" s="107"/>
      <c r="D42" s="106"/>
      <c r="E42" s="106"/>
      <c r="F42" s="228"/>
      <c r="G42" s="107">
        <f>SUM('120 libre Administ.'!H34)</f>
        <v>7000</v>
      </c>
      <c r="H42" s="106"/>
      <c r="I42" s="106"/>
      <c r="J42" s="228"/>
      <c r="K42" s="107"/>
      <c r="L42" s="106"/>
      <c r="M42" s="106"/>
      <c r="N42" s="228">
        <f>SUM('120- Libre disp, social'!H36)</f>
        <v>4600</v>
      </c>
      <c r="O42" s="107"/>
      <c r="P42" s="108"/>
      <c r="Q42" s="106"/>
      <c r="R42" s="107"/>
      <c r="S42" s="106"/>
      <c r="T42" s="106"/>
      <c r="U42" s="108"/>
      <c r="V42" s="241"/>
      <c r="W42" s="250">
        <f t="shared" si="0"/>
        <v>11600</v>
      </c>
      <c r="X42" s="46"/>
    </row>
    <row r="43" spans="1:37" s="40" customFormat="1" ht="24" customHeight="1">
      <c r="A43" s="141">
        <v>54204</v>
      </c>
      <c r="B43" s="234" t="s">
        <v>147</v>
      </c>
      <c r="C43" s="107"/>
      <c r="D43" s="106"/>
      <c r="E43" s="106"/>
      <c r="F43" s="228"/>
      <c r="G43" s="107" t="e">
        <f>SUM('120 libre Administ.'!#REF!)</f>
        <v>#REF!</v>
      </c>
      <c r="H43" s="106"/>
      <c r="I43" s="106"/>
      <c r="J43" s="228"/>
      <c r="K43" s="107"/>
      <c r="L43" s="106"/>
      <c r="M43" s="106"/>
      <c r="N43" s="228"/>
      <c r="O43" s="107"/>
      <c r="P43" s="108"/>
      <c r="Q43" s="106"/>
      <c r="R43" s="107"/>
      <c r="S43" s="106"/>
      <c r="T43" s="106"/>
      <c r="U43" s="108"/>
      <c r="V43" s="241"/>
      <c r="W43" s="250" t="e">
        <f t="shared" si="0"/>
        <v>#REF!</v>
      </c>
      <c r="X43" s="46"/>
    </row>
    <row r="44" spans="1:37" s="40" customFormat="1" ht="24" customHeight="1">
      <c r="A44" s="141">
        <v>54205</v>
      </c>
      <c r="B44" s="234" t="s">
        <v>148</v>
      </c>
      <c r="C44" s="107"/>
      <c r="D44" s="106"/>
      <c r="E44" s="106"/>
      <c r="F44" s="228"/>
      <c r="G44" s="107"/>
      <c r="H44" s="106"/>
      <c r="I44" s="106"/>
      <c r="J44" s="228"/>
      <c r="K44" s="107"/>
      <c r="L44" s="106"/>
      <c r="M44" s="106"/>
      <c r="N44" s="228"/>
      <c r="O44" s="107"/>
      <c r="P44" s="108"/>
      <c r="Q44" s="106"/>
      <c r="R44" s="107"/>
      <c r="S44" s="106"/>
      <c r="T44" s="106"/>
      <c r="U44" s="108"/>
      <c r="V44" s="241"/>
      <c r="W44" s="250">
        <f t="shared" si="0"/>
        <v>0</v>
      </c>
      <c r="X44" s="46"/>
    </row>
    <row r="45" spans="1:37" s="40" customFormat="1" ht="24" customHeight="1">
      <c r="A45" s="141">
        <v>54301</v>
      </c>
      <c r="B45" s="234" t="s">
        <v>149</v>
      </c>
      <c r="C45" s="107">
        <f>SUM('FONDOS PROPIOS'!H23)</f>
        <v>4000</v>
      </c>
      <c r="D45" s="106"/>
      <c r="E45" s="106"/>
      <c r="F45" s="228"/>
      <c r="G45" s="107">
        <f>SUM('120 libre Administ.'!H35)</f>
        <v>3500</v>
      </c>
      <c r="H45" s="106"/>
      <c r="I45" s="106"/>
      <c r="J45" s="228" t="e">
        <f>SUM('120 libre Administ.'!#REF!)</f>
        <v>#REF!</v>
      </c>
      <c r="K45" s="107"/>
      <c r="L45" s="106"/>
      <c r="M45" s="106"/>
      <c r="N45" s="228" t="e">
        <f>SUM('120- Libre disp, social'!#REF!)</f>
        <v>#REF!</v>
      </c>
      <c r="O45" s="107"/>
      <c r="P45" s="108"/>
      <c r="Q45" s="106"/>
      <c r="R45" s="107"/>
      <c r="S45" s="106"/>
      <c r="T45" s="106"/>
      <c r="U45" s="108"/>
      <c r="V45" s="241"/>
      <c r="W45" s="250" t="e">
        <f t="shared" si="0"/>
        <v>#REF!</v>
      </c>
      <c r="X45" s="46"/>
    </row>
    <row r="46" spans="1:37" s="40" customFormat="1" ht="24" customHeight="1">
      <c r="A46" s="141">
        <v>54302</v>
      </c>
      <c r="B46" s="234" t="s">
        <v>150</v>
      </c>
      <c r="C46" s="107">
        <f>SUM('FONDOS PROPIOS'!H24)</f>
        <v>0</v>
      </c>
      <c r="D46" s="106"/>
      <c r="E46" s="106"/>
      <c r="F46" s="228"/>
      <c r="G46" s="107">
        <f>SUM('120 libre Administ.'!H36)</f>
        <v>12000</v>
      </c>
      <c r="H46" s="106"/>
      <c r="I46" s="106"/>
      <c r="J46" s="228"/>
      <c r="K46" s="107"/>
      <c r="L46" s="106"/>
      <c r="M46" s="106"/>
      <c r="N46" s="228">
        <f>SUM('120- Libre disp, social'!H38)</f>
        <v>0</v>
      </c>
      <c r="O46" s="107"/>
      <c r="P46" s="108"/>
      <c r="Q46" s="106"/>
      <c r="R46" s="107"/>
      <c r="S46" s="106"/>
      <c r="T46" s="106"/>
      <c r="U46" s="108"/>
      <c r="V46" s="241"/>
      <c r="W46" s="250">
        <f t="shared" si="0"/>
        <v>12000</v>
      </c>
      <c r="X46" s="46"/>
    </row>
    <row r="47" spans="1:37" s="40" customFormat="1" ht="24" customHeight="1">
      <c r="A47" s="141">
        <v>54303</v>
      </c>
      <c r="B47" s="234" t="s">
        <v>151</v>
      </c>
      <c r="C47" s="107"/>
      <c r="D47" s="106"/>
      <c r="E47" s="106"/>
      <c r="F47" s="228">
        <f>SUM('FONDOS PROPIOS'!H61)</f>
        <v>4500</v>
      </c>
      <c r="G47" s="107">
        <f>SUM('120 libre Administ.'!H37)</f>
        <v>1000</v>
      </c>
      <c r="H47" s="106"/>
      <c r="I47" s="106"/>
      <c r="J47" s="228" t="e">
        <f>SUM('120 libre Administ.'!#REF!)</f>
        <v>#REF!</v>
      </c>
      <c r="K47" s="107"/>
      <c r="L47" s="106"/>
      <c r="M47" s="106"/>
      <c r="N47" s="245">
        <f>SUM('120- Libre disp, social'!H39)</f>
        <v>0</v>
      </c>
      <c r="O47" s="107"/>
      <c r="P47" s="108"/>
      <c r="Q47" s="106"/>
      <c r="R47" s="107"/>
      <c r="S47" s="106"/>
      <c r="T47" s="106"/>
      <c r="U47" s="108"/>
      <c r="V47" s="241"/>
      <c r="W47" s="250" t="e">
        <f t="shared" si="0"/>
        <v>#REF!</v>
      </c>
      <c r="X47" s="46"/>
    </row>
    <row r="48" spans="1:37" s="40" customFormat="1" ht="24" customHeight="1">
      <c r="A48" s="141">
        <v>54304</v>
      </c>
      <c r="B48" s="235" t="s">
        <v>152</v>
      </c>
      <c r="C48" s="107">
        <f>SUM('FONDOS PROPIOS'!H25)</f>
        <v>5600</v>
      </c>
      <c r="D48" s="106"/>
      <c r="E48" s="106"/>
      <c r="F48" s="228"/>
      <c r="G48" s="107">
        <f>SUM('120 libre Administ.'!H38)</f>
        <v>2000</v>
      </c>
      <c r="H48" s="106" t="e">
        <f>SUM('120 libre Administ.'!#REF!)</f>
        <v>#REF!</v>
      </c>
      <c r="I48" s="106"/>
      <c r="J48" s="228" t="e">
        <f>SUM('120 libre Administ.'!#REF!)</f>
        <v>#REF!</v>
      </c>
      <c r="K48" s="107" t="e">
        <f>SUM('120- Libre disp, social'!#REF!)</f>
        <v>#REF!</v>
      </c>
      <c r="L48" s="106"/>
      <c r="M48" s="106"/>
      <c r="N48" s="228">
        <f>SUM('120- Libre disp, social'!H40)</f>
        <v>6150</v>
      </c>
      <c r="O48" s="107"/>
      <c r="P48" s="108"/>
      <c r="Q48" s="106"/>
      <c r="R48" s="107">
        <f>SUM('INVER.FODES 75% AG 4'!H24)</f>
        <v>0</v>
      </c>
      <c r="S48" s="106"/>
      <c r="T48" s="106"/>
      <c r="U48" s="108"/>
      <c r="V48" s="241"/>
      <c r="W48" s="250" t="e">
        <f t="shared" si="0"/>
        <v>#REF!</v>
      </c>
      <c r="X48" s="46"/>
    </row>
    <row r="49" spans="1:41" s="40" customFormat="1" ht="24" customHeight="1">
      <c r="A49" s="141">
        <v>54305</v>
      </c>
      <c r="B49" s="234" t="s">
        <v>153</v>
      </c>
      <c r="C49" s="107"/>
      <c r="D49" s="106"/>
      <c r="E49" s="106"/>
      <c r="F49" s="228"/>
      <c r="G49" s="107">
        <f>SUM('120 libre Administ.'!H39)</f>
        <v>100</v>
      </c>
      <c r="H49" s="106"/>
      <c r="I49" s="106"/>
      <c r="J49" s="228"/>
      <c r="K49" s="107"/>
      <c r="L49" s="106"/>
      <c r="M49" s="106"/>
      <c r="N49" s="228"/>
      <c r="O49" s="107"/>
      <c r="P49" s="108"/>
      <c r="Q49" s="106"/>
      <c r="R49" s="107"/>
      <c r="S49" s="106"/>
      <c r="T49" s="106"/>
      <c r="U49" s="108"/>
      <c r="V49" s="241"/>
      <c r="W49" s="250">
        <f t="shared" si="0"/>
        <v>100</v>
      </c>
      <c r="X49" s="46"/>
    </row>
    <row r="50" spans="1:41" s="40" customFormat="1" ht="24" customHeight="1">
      <c r="A50" s="141">
        <v>54313</v>
      </c>
      <c r="B50" s="234" t="s">
        <v>154</v>
      </c>
      <c r="C50" s="107"/>
      <c r="D50" s="106"/>
      <c r="E50" s="106"/>
      <c r="F50" s="228"/>
      <c r="G50" s="107">
        <f>SUM('120 libre Administ.'!H40)</f>
        <v>2500</v>
      </c>
      <c r="H50" s="106"/>
      <c r="I50" s="106"/>
      <c r="J50" s="228"/>
      <c r="K50" s="107"/>
      <c r="L50" s="106"/>
      <c r="M50" s="106"/>
      <c r="N50" s="245">
        <f>SUM('120- Libre disp, social'!H42)</f>
        <v>0</v>
      </c>
      <c r="O50" s="107"/>
      <c r="P50" s="108"/>
      <c r="Q50" s="106"/>
      <c r="R50" s="107"/>
      <c r="S50" s="106"/>
      <c r="T50" s="106"/>
      <c r="U50" s="108"/>
      <c r="V50" s="241"/>
      <c r="W50" s="250">
        <f t="shared" si="0"/>
        <v>2500</v>
      </c>
      <c r="X50" s="46"/>
    </row>
    <row r="51" spans="1:41" s="40" customFormat="1" ht="24" customHeight="1">
      <c r="A51" s="141">
        <v>54314</v>
      </c>
      <c r="B51" s="234" t="s">
        <v>155</v>
      </c>
      <c r="C51" s="107">
        <f>SUM('FONDOS PROPIOS'!H26)</f>
        <v>500</v>
      </c>
      <c r="D51" s="106"/>
      <c r="E51" s="106"/>
      <c r="F51" s="228"/>
      <c r="G51" s="107">
        <f>SUM('120 libre Administ.'!H41)</f>
        <v>350</v>
      </c>
      <c r="H51" s="106"/>
      <c r="I51" s="106"/>
      <c r="J51" s="228"/>
      <c r="K51" s="107"/>
      <c r="L51" s="106"/>
      <c r="M51" s="106"/>
      <c r="N51" s="246"/>
      <c r="O51" s="107"/>
      <c r="P51" s="108"/>
      <c r="Q51" s="106"/>
      <c r="R51" s="107"/>
      <c r="S51" s="106"/>
      <c r="T51" s="106"/>
      <c r="U51" s="108"/>
      <c r="V51" s="241"/>
      <c r="W51" s="250">
        <f t="shared" si="0"/>
        <v>850</v>
      </c>
      <c r="X51" s="46"/>
    </row>
    <row r="52" spans="1:41" s="40" customFormat="1" ht="24" customHeight="1">
      <c r="A52" s="141">
        <v>54316</v>
      </c>
      <c r="B52" s="235" t="s">
        <v>156</v>
      </c>
      <c r="C52" s="107">
        <f>SUM('FONDOS PROPIOS'!H27)</f>
        <v>0</v>
      </c>
      <c r="D52" s="106"/>
      <c r="E52" s="106"/>
      <c r="F52" s="228"/>
      <c r="G52" s="107"/>
      <c r="H52" s="106"/>
      <c r="I52" s="106"/>
      <c r="J52" s="228"/>
      <c r="K52" s="107"/>
      <c r="L52" s="106"/>
      <c r="M52" s="106"/>
      <c r="N52" s="228">
        <f>SUM('120- Libre disp, social'!H43)</f>
        <v>5000</v>
      </c>
      <c r="O52" s="107"/>
      <c r="P52" s="108"/>
      <c r="Q52" s="106"/>
      <c r="R52" s="107">
        <f>SUM('INVER.FODES 75% AG 4'!H25)</f>
        <v>0</v>
      </c>
      <c r="S52" s="106"/>
      <c r="T52" s="106"/>
      <c r="U52" s="108"/>
      <c r="V52" s="241"/>
      <c r="W52" s="250">
        <f t="shared" si="0"/>
        <v>5000</v>
      </c>
      <c r="X52" s="46"/>
    </row>
    <row r="53" spans="1:41" s="40" customFormat="1" ht="24" customHeight="1">
      <c r="A53" s="141">
        <v>54317</v>
      </c>
      <c r="B53" s="235" t="s">
        <v>157</v>
      </c>
      <c r="C53" s="107"/>
      <c r="D53" s="106"/>
      <c r="E53" s="106"/>
      <c r="F53" s="228"/>
      <c r="G53" s="107"/>
      <c r="H53" s="106"/>
      <c r="I53" s="106"/>
      <c r="J53" s="228"/>
      <c r="K53" s="107"/>
      <c r="L53" s="106"/>
      <c r="M53" s="106"/>
      <c r="N53" s="228">
        <f>SUM('120- Libre disp, social'!H44)</f>
        <v>0</v>
      </c>
      <c r="O53" s="107"/>
      <c r="P53" s="108"/>
      <c r="Q53" s="106"/>
      <c r="R53" s="107">
        <f>SUM('INVER.FODES 75% AG 4'!H26)</f>
        <v>0</v>
      </c>
      <c r="S53" s="106"/>
      <c r="T53" s="106"/>
      <c r="U53" s="108"/>
      <c r="V53" s="241"/>
      <c r="W53" s="250">
        <f t="shared" si="0"/>
        <v>0</v>
      </c>
      <c r="X53" s="46"/>
    </row>
    <row r="54" spans="1:41" s="40" customFormat="1" ht="24" customHeight="1">
      <c r="A54" s="141">
        <v>54399</v>
      </c>
      <c r="B54" s="234" t="s">
        <v>158</v>
      </c>
      <c r="C54" s="107">
        <f>SUM('FONDOS PROPIOS'!H28)</f>
        <v>0</v>
      </c>
      <c r="D54" s="106"/>
      <c r="E54" s="106"/>
      <c r="F54" s="228"/>
      <c r="G54" s="107" t="e">
        <f>SUM('120 libre Administ.'!#REF!)</f>
        <v>#REF!</v>
      </c>
      <c r="H54" s="106"/>
      <c r="I54" s="106"/>
      <c r="J54" s="228"/>
      <c r="K54" s="107"/>
      <c r="L54" s="106"/>
      <c r="M54" s="106"/>
      <c r="N54" s="228">
        <f>SUM('120- Libre disp, social'!H45)</f>
        <v>0</v>
      </c>
      <c r="O54" s="107"/>
      <c r="P54" s="108"/>
      <c r="Q54" s="106"/>
      <c r="R54" s="107"/>
      <c r="S54" s="106"/>
      <c r="T54" s="106"/>
      <c r="U54" s="108"/>
      <c r="V54" s="241"/>
      <c r="W54" s="250" t="e">
        <f t="shared" si="0"/>
        <v>#REF!</v>
      </c>
      <c r="X54" s="46"/>
    </row>
    <row r="55" spans="1:41" s="40" customFormat="1" ht="24" customHeight="1">
      <c r="A55" s="141">
        <v>54401</v>
      </c>
      <c r="B55" s="234" t="s">
        <v>94</v>
      </c>
      <c r="C55" s="107"/>
      <c r="D55" s="106"/>
      <c r="E55" s="106"/>
      <c r="F55" s="228"/>
      <c r="G55" s="107">
        <f>SUM('120 libre Administ.'!H42)</f>
        <v>0</v>
      </c>
      <c r="H55" s="106" t="e">
        <f>SUM('120 libre Administ.'!#REF!)</f>
        <v>#REF!</v>
      </c>
      <c r="I55" s="106" t="e">
        <f>SUM('120 libre Administ.'!#REF!)</f>
        <v>#REF!</v>
      </c>
      <c r="J55" s="228" t="e">
        <f>SUM('120 libre Administ.'!#REF!)</f>
        <v>#REF!</v>
      </c>
      <c r="K55" s="107"/>
      <c r="L55" s="106"/>
      <c r="M55" s="106"/>
      <c r="N55" s="228"/>
      <c r="O55" s="107"/>
      <c r="P55" s="108"/>
      <c r="Q55" s="106"/>
      <c r="R55" s="107"/>
      <c r="S55" s="106"/>
      <c r="T55" s="106"/>
      <c r="U55" s="108"/>
      <c r="V55" s="241"/>
      <c r="W55" s="250" t="e">
        <f t="shared" si="0"/>
        <v>#REF!</v>
      </c>
      <c r="X55" s="46"/>
    </row>
    <row r="56" spans="1:41" s="40" customFormat="1" ht="24" customHeight="1">
      <c r="A56" s="141">
        <v>54403</v>
      </c>
      <c r="B56" s="234" t="s">
        <v>95</v>
      </c>
      <c r="C56" s="107"/>
      <c r="D56" s="106"/>
      <c r="E56" s="106"/>
      <c r="F56" s="228"/>
      <c r="G56" s="107">
        <f>SUM('120 libre Administ.'!H43)</f>
        <v>1350</v>
      </c>
      <c r="H56" s="106" t="e">
        <f>SUM('120 libre Administ.'!#REF!)</f>
        <v>#REF!</v>
      </c>
      <c r="I56" s="106" t="e">
        <f>SUM('120 libre Administ.'!#REF!)</f>
        <v>#REF!</v>
      </c>
      <c r="J56" s="228" t="e">
        <f>SUM('120 libre Administ.'!#REF!)</f>
        <v>#REF!</v>
      </c>
      <c r="K56" s="107"/>
      <c r="L56" s="106"/>
      <c r="M56" s="106"/>
      <c r="N56" s="228">
        <f>SUM('120- Libre disp, social'!H46)</f>
        <v>0</v>
      </c>
      <c r="O56" s="107"/>
      <c r="P56" s="108"/>
      <c r="Q56" s="106"/>
      <c r="R56" s="107"/>
      <c r="S56" s="106"/>
      <c r="T56" s="106"/>
      <c r="U56" s="108"/>
      <c r="V56" s="241"/>
      <c r="W56" s="250" t="e">
        <f t="shared" si="0"/>
        <v>#REF!</v>
      </c>
      <c r="X56" s="46"/>
    </row>
    <row r="57" spans="1:41" s="40" customFormat="1" ht="24" customHeight="1">
      <c r="A57" s="141">
        <v>54404</v>
      </c>
      <c r="B57" s="234" t="s">
        <v>175</v>
      </c>
      <c r="C57" s="107"/>
      <c r="D57" s="106"/>
      <c r="E57" s="106"/>
      <c r="F57" s="228"/>
      <c r="G57" s="107"/>
      <c r="H57" s="106"/>
      <c r="I57" s="106"/>
      <c r="J57" s="228"/>
      <c r="K57" s="107"/>
      <c r="L57" s="106"/>
      <c r="M57" s="106"/>
      <c r="N57" s="228"/>
      <c r="O57" s="107"/>
      <c r="P57" s="108"/>
      <c r="Q57" s="106"/>
      <c r="R57" s="107"/>
      <c r="S57" s="106"/>
      <c r="T57" s="106"/>
      <c r="U57" s="108"/>
      <c r="V57" s="241"/>
      <c r="W57" s="250">
        <f t="shared" si="0"/>
        <v>0</v>
      </c>
      <c r="X57" s="46"/>
    </row>
    <row r="58" spans="1:41" s="40" customFormat="1" ht="24" customHeight="1">
      <c r="A58" s="141">
        <v>54503</v>
      </c>
      <c r="B58" s="234" t="s">
        <v>96</v>
      </c>
      <c r="C58" s="107">
        <f>SUM('FONDOS PROPIOS'!H29)</f>
        <v>0</v>
      </c>
      <c r="D58" s="106"/>
      <c r="E58" s="106"/>
      <c r="F58" s="228"/>
      <c r="G58" s="107">
        <f>SUM('120 libre Administ.'!H44)</f>
        <v>0</v>
      </c>
      <c r="H58" s="106"/>
      <c r="I58" s="106"/>
      <c r="J58" s="228"/>
      <c r="K58" s="107"/>
      <c r="L58" s="106"/>
      <c r="M58" s="106"/>
      <c r="N58" s="228"/>
      <c r="O58" s="107"/>
      <c r="P58" s="108"/>
      <c r="Q58" s="106"/>
      <c r="R58" s="107"/>
      <c r="S58" s="106"/>
      <c r="T58" s="106"/>
      <c r="U58" s="108"/>
      <c r="V58" s="241"/>
      <c r="W58" s="250">
        <f t="shared" si="0"/>
        <v>0</v>
      </c>
      <c r="X58" s="46"/>
    </row>
    <row r="59" spans="1:41" s="40" customFormat="1" ht="24" customHeight="1">
      <c r="A59" s="141">
        <v>54504</v>
      </c>
      <c r="B59" s="235" t="s">
        <v>168</v>
      </c>
      <c r="C59" s="107"/>
      <c r="D59" s="106"/>
      <c r="E59" s="106"/>
      <c r="F59" s="228"/>
      <c r="G59" s="107">
        <f>SUM('120 libre Administ.'!H45)</f>
        <v>300</v>
      </c>
      <c r="H59" s="106"/>
      <c r="I59" s="106"/>
      <c r="J59" s="228"/>
      <c r="K59" s="107"/>
      <c r="L59" s="106"/>
      <c r="M59" s="106"/>
      <c r="N59" s="228"/>
      <c r="O59" s="107"/>
      <c r="P59" s="108"/>
      <c r="Q59" s="106"/>
      <c r="R59" s="107"/>
      <c r="S59" s="106"/>
      <c r="T59" s="106"/>
      <c r="U59" s="108"/>
      <c r="V59" s="241"/>
      <c r="W59" s="250">
        <f t="shared" si="0"/>
        <v>300</v>
      </c>
      <c r="X59" s="46"/>
    </row>
    <row r="60" spans="1:41" s="40" customFormat="1" ht="24" customHeight="1">
      <c r="A60" s="141">
        <v>54505</v>
      </c>
      <c r="B60" s="234" t="s">
        <v>416</v>
      </c>
      <c r="C60" s="107"/>
      <c r="D60" s="106"/>
      <c r="E60" s="106"/>
      <c r="F60" s="228"/>
      <c r="G60" s="107">
        <f>SUM('120 libre Administ.'!H46)</f>
        <v>0</v>
      </c>
      <c r="H60" s="106"/>
      <c r="I60" s="106"/>
      <c r="J60" s="228"/>
      <c r="K60" s="107"/>
      <c r="L60" s="106"/>
      <c r="M60" s="106"/>
      <c r="N60" s="228">
        <f>SUM('120- Libre disp, social'!H47)</f>
        <v>0</v>
      </c>
      <c r="O60" s="107"/>
      <c r="P60" s="108"/>
      <c r="Q60" s="106"/>
      <c r="R60" s="107"/>
      <c r="S60" s="106"/>
      <c r="T60" s="106"/>
      <c r="U60" s="108"/>
      <c r="V60" s="241"/>
      <c r="W60" s="250">
        <f t="shared" si="0"/>
        <v>0</v>
      </c>
      <c r="X60" s="46"/>
    </row>
    <row r="61" spans="1:41" s="40" customFormat="1" ht="24" customHeight="1">
      <c r="A61" s="141">
        <v>54507</v>
      </c>
      <c r="B61" s="234" t="s">
        <v>399</v>
      </c>
      <c r="C61" s="107"/>
      <c r="D61" s="106"/>
      <c r="E61" s="106"/>
      <c r="F61" s="228"/>
      <c r="G61" s="107">
        <f>SUM('120 libre Administ.'!H47)</f>
        <v>500</v>
      </c>
      <c r="H61" s="106"/>
      <c r="I61" s="106"/>
      <c r="J61" s="228"/>
      <c r="K61" s="107"/>
      <c r="L61" s="106"/>
      <c r="M61" s="106"/>
      <c r="N61" s="228"/>
      <c r="O61" s="107"/>
      <c r="P61" s="108"/>
      <c r="Q61" s="106"/>
      <c r="R61" s="107"/>
      <c r="S61" s="106"/>
      <c r="T61" s="106"/>
      <c r="U61" s="108"/>
      <c r="V61" s="241"/>
      <c r="W61" s="250">
        <f t="shared" si="0"/>
        <v>500</v>
      </c>
      <c r="X61" s="46"/>
    </row>
    <row r="62" spans="1:41" s="40" customFormat="1" ht="24" customHeight="1">
      <c r="A62" s="141">
        <v>54599</v>
      </c>
      <c r="B62" s="234" t="s">
        <v>97</v>
      </c>
      <c r="C62" s="107"/>
      <c r="D62" s="106"/>
      <c r="E62" s="106"/>
      <c r="F62" s="228"/>
      <c r="G62" s="107" t="e">
        <f>SUM('120 libre Administ.'!#REF!)</f>
        <v>#REF!</v>
      </c>
      <c r="H62" s="106"/>
      <c r="I62" s="106"/>
      <c r="J62" s="228"/>
      <c r="K62" s="107"/>
      <c r="L62" s="106"/>
      <c r="M62" s="106"/>
      <c r="N62" s="228"/>
      <c r="O62" s="107"/>
      <c r="P62" s="108"/>
      <c r="Q62" s="106"/>
      <c r="R62" s="107">
        <f>SUM('INVER.FODES 75% AG 4'!H27)</f>
        <v>0</v>
      </c>
      <c r="S62" s="106"/>
      <c r="T62" s="106"/>
      <c r="U62" s="108"/>
      <c r="V62" s="241"/>
      <c r="W62" s="250" t="e">
        <f t="shared" si="0"/>
        <v>#REF!</v>
      </c>
      <c r="X62" s="46"/>
    </row>
    <row r="63" spans="1:41" s="40" customFormat="1" ht="24" customHeight="1">
      <c r="A63" s="141">
        <v>54601</v>
      </c>
      <c r="B63" s="234" t="s">
        <v>98</v>
      </c>
      <c r="C63" s="107"/>
      <c r="D63" s="106"/>
      <c r="E63" s="106"/>
      <c r="F63" s="228"/>
      <c r="G63" s="107"/>
      <c r="H63" s="106"/>
      <c r="I63" s="106"/>
      <c r="J63" s="228"/>
      <c r="K63" s="107"/>
      <c r="L63" s="106"/>
      <c r="M63" s="106"/>
      <c r="N63" s="228"/>
      <c r="O63" s="107"/>
      <c r="P63" s="108"/>
      <c r="Q63" s="106"/>
      <c r="R63" s="107"/>
      <c r="S63" s="106"/>
      <c r="T63" s="106"/>
      <c r="U63" s="108"/>
      <c r="V63" s="241"/>
      <c r="W63" s="250">
        <f t="shared" si="0"/>
        <v>0</v>
      </c>
      <c r="X63" s="46"/>
    </row>
    <row r="64" spans="1:41" s="40" customFormat="1" ht="24" customHeight="1">
      <c r="A64" s="141">
        <v>54602</v>
      </c>
      <c r="B64" s="234" t="s">
        <v>99</v>
      </c>
      <c r="C64" s="107"/>
      <c r="D64" s="106"/>
      <c r="E64" s="106"/>
      <c r="F64" s="228"/>
      <c r="G64" s="107"/>
      <c r="H64" s="106"/>
      <c r="I64" s="106"/>
      <c r="J64" s="228"/>
      <c r="K64" s="107"/>
      <c r="L64" s="106"/>
      <c r="M64" s="106"/>
      <c r="N64" s="228"/>
      <c r="O64" s="107"/>
      <c r="P64" s="108"/>
      <c r="Q64" s="106"/>
      <c r="R64" s="107"/>
      <c r="S64" s="106"/>
      <c r="T64" s="106"/>
      <c r="U64" s="108"/>
      <c r="V64" s="241"/>
      <c r="W64" s="250">
        <f t="shared" si="0"/>
        <v>0</v>
      </c>
      <c r="X64" s="46"/>
    </row>
    <row r="65" spans="1:45" s="40" customFormat="1" ht="24" customHeight="1">
      <c r="A65" s="141">
        <v>54603</v>
      </c>
      <c r="B65" s="234" t="s">
        <v>100</v>
      </c>
      <c r="C65" s="107"/>
      <c r="D65" s="106"/>
      <c r="E65" s="106"/>
      <c r="F65" s="228"/>
      <c r="G65" s="107"/>
      <c r="H65" s="106"/>
      <c r="I65" s="106"/>
      <c r="J65" s="228"/>
      <c r="K65" s="107"/>
      <c r="L65" s="106"/>
      <c r="M65" s="106"/>
      <c r="N65" s="228"/>
      <c r="O65" s="107"/>
      <c r="P65" s="108"/>
      <c r="Q65" s="106"/>
      <c r="R65" s="107"/>
      <c r="S65" s="106"/>
      <c r="T65" s="106"/>
      <c r="U65" s="108"/>
      <c r="V65" s="241"/>
      <c r="W65" s="250">
        <f t="shared" si="0"/>
        <v>0</v>
      </c>
      <c r="X65" s="46"/>
    </row>
    <row r="66" spans="1:45" s="40" customFormat="1" ht="24" customHeight="1">
      <c r="A66" s="141">
        <v>54699</v>
      </c>
      <c r="B66" s="234" t="s">
        <v>101</v>
      </c>
      <c r="C66" s="107"/>
      <c r="D66" s="106"/>
      <c r="E66" s="106"/>
      <c r="F66" s="228"/>
      <c r="G66" s="107"/>
      <c r="H66" s="106"/>
      <c r="I66" s="106"/>
      <c r="J66" s="228"/>
      <c r="K66" s="107"/>
      <c r="L66" s="106"/>
      <c r="M66" s="106"/>
      <c r="N66" s="228"/>
      <c r="O66" s="107"/>
      <c r="P66" s="108"/>
      <c r="Q66" s="106"/>
      <c r="R66" s="107"/>
      <c r="S66" s="106"/>
      <c r="T66" s="106"/>
      <c r="U66" s="108"/>
      <c r="V66" s="241"/>
      <c r="W66" s="250">
        <f t="shared" si="0"/>
        <v>0</v>
      </c>
      <c r="X66" s="46"/>
    </row>
    <row r="67" spans="1:45" s="40" customFormat="1" ht="24" customHeight="1">
      <c r="A67" s="141">
        <v>55302</v>
      </c>
      <c r="B67" s="235" t="s">
        <v>102</v>
      </c>
      <c r="C67" s="107"/>
      <c r="D67" s="106"/>
      <c r="E67" s="106"/>
      <c r="F67" s="228"/>
      <c r="G67" s="107"/>
      <c r="H67" s="106"/>
      <c r="I67" s="106"/>
      <c r="J67" s="228"/>
      <c r="K67" s="107"/>
      <c r="L67" s="106"/>
      <c r="M67" s="106"/>
      <c r="N67" s="228"/>
      <c r="O67" s="107"/>
      <c r="P67" s="108"/>
      <c r="Q67" s="106"/>
      <c r="R67" s="107"/>
      <c r="S67" s="106"/>
      <c r="T67" s="106"/>
      <c r="U67" s="108"/>
      <c r="V67" s="241">
        <f>SUM('Pres.Servicio Deuda Publica'!H11)</f>
        <v>0</v>
      </c>
      <c r="W67" s="250">
        <f t="shared" si="0"/>
        <v>0</v>
      </c>
      <c r="X67" s="46"/>
    </row>
    <row r="68" spans="1:45" s="40" customFormat="1" ht="24" customHeight="1">
      <c r="A68" s="141">
        <v>55304</v>
      </c>
      <c r="B68" s="235" t="s">
        <v>178</v>
      </c>
      <c r="C68" s="107"/>
      <c r="D68" s="106"/>
      <c r="E68" s="106"/>
      <c r="F68" s="228"/>
      <c r="G68" s="107"/>
      <c r="H68" s="106"/>
      <c r="I68" s="106"/>
      <c r="J68" s="228"/>
      <c r="K68" s="107"/>
      <c r="L68" s="106"/>
      <c r="M68" s="106"/>
      <c r="N68" s="228"/>
      <c r="O68" s="107"/>
      <c r="P68" s="108"/>
      <c r="Q68" s="106"/>
      <c r="R68" s="107"/>
      <c r="S68" s="106"/>
      <c r="T68" s="106"/>
      <c r="U68" s="108"/>
      <c r="V68" s="242">
        <f>SUM('Pres.Servicio Deuda Publica'!H12)</f>
        <v>0</v>
      </c>
      <c r="W68" s="250">
        <f t="shared" si="0"/>
        <v>0</v>
      </c>
      <c r="X68" s="46"/>
    </row>
    <row r="69" spans="1:45" s="40" customFormat="1" ht="24" customHeight="1">
      <c r="A69" s="141">
        <v>55599</v>
      </c>
      <c r="B69" s="235" t="s">
        <v>605</v>
      </c>
      <c r="C69" s="107"/>
      <c r="D69" s="106"/>
      <c r="E69" s="106"/>
      <c r="F69" s="228"/>
      <c r="G69" s="107">
        <f>SUM('120 libre Administ.'!H48)</f>
        <v>200</v>
      </c>
      <c r="H69" s="106"/>
      <c r="I69" s="106"/>
      <c r="J69" s="228"/>
      <c r="K69" s="107"/>
      <c r="L69" s="106"/>
      <c r="M69" s="106"/>
      <c r="N69" s="228"/>
      <c r="O69" s="107"/>
      <c r="P69" s="108"/>
      <c r="Q69" s="106"/>
      <c r="R69" s="107"/>
      <c r="S69" s="106"/>
      <c r="T69" s="106"/>
      <c r="U69" s="108"/>
      <c r="V69" s="242"/>
      <c r="W69" s="250">
        <f t="shared" si="0"/>
        <v>200</v>
      </c>
      <c r="X69" s="46"/>
    </row>
    <row r="70" spans="1:45" s="40" customFormat="1" ht="24" customHeight="1">
      <c r="A70" s="141">
        <v>55601</v>
      </c>
      <c r="B70" s="234" t="s">
        <v>176</v>
      </c>
      <c r="C70" s="107"/>
      <c r="D70" s="106"/>
      <c r="E70" s="106"/>
      <c r="F70" s="228"/>
      <c r="G70" s="107"/>
      <c r="H70" s="106"/>
      <c r="I70" s="106"/>
      <c r="J70" s="228"/>
      <c r="K70" s="107"/>
      <c r="L70" s="106"/>
      <c r="M70" s="106"/>
      <c r="N70" s="228"/>
      <c r="O70" s="107"/>
      <c r="P70" s="108"/>
      <c r="Q70" s="106"/>
      <c r="R70" s="107"/>
      <c r="S70" s="106"/>
      <c r="T70" s="106"/>
      <c r="U70" s="108"/>
      <c r="V70" s="241"/>
      <c r="W70" s="250">
        <f t="shared" si="0"/>
        <v>0</v>
      </c>
      <c r="X70" s="46"/>
    </row>
    <row r="71" spans="1:45" s="40" customFormat="1" ht="24" customHeight="1">
      <c r="A71" s="141">
        <v>55602</v>
      </c>
      <c r="B71" s="234" t="s">
        <v>103</v>
      </c>
      <c r="C71" s="107"/>
      <c r="D71" s="106"/>
      <c r="E71" s="106"/>
      <c r="F71" s="228"/>
      <c r="G71" s="107" t="e">
        <f>SUM('120 libre Administ.'!#REF!)</f>
        <v>#REF!</v>
      </c>
      <c r="H71" s="106"/>
      <c r="I71" s="106"/>
      <c r="J71" s="228"/>
      <c r="K71" s="107"/>
      <c r="L71" s="106"/>
      <c r="M71" s="106"/>
      <c r="N71" s="228"/>
      <c r="O71" s="107"/>
      <c r="P71" s="108"/>
      <c r="Q71" s="106"/>
      <c r="R71" s="107"/>
      <c r="S71" s="106"/>
      <c r="T71" s="106"/>
      <c r="U71" s="108"/>
      <c r="V71" s="241"/>
      <c r="W71" s="250" t="e">
        <f t="shared" si="0"/>
        <v>#REF!</v>
      </c>
      <c r="X71" s="46"/>
    </row>
    <row r="72" spans="1:45" s="40" customFormat="1" ht="24" customHeight="1">
      <c r="A72" s="141">
        <v>55603</v>
      </c>
      <c r="B72" s="234" t="s">
        <v>104</v>
      </c>
      <c r="C72" s="107"/>
      <c r="D72" s="106"/>
      <c r="E72" s="106"/>
      <c r="F72" s="228"/>
      <c r="G72" s="107">
        <f>SUM('120 libre Administ.'!H49)</f>
        <v>450</v>
      </c>
      <c r="H72" s="168" t="e">
        <f>SUM('120 libre Administ.'!#REF!)</f>
        <v>#REF!</v>
      </c>
      <c r="I72" s="106"/>
      <c r="J72" s="228"/>
      <c r="K72" s="107"/>
      <c r="L72" s="106"/>
      <c r="M72" s="106"/>
      <c r="N72" s="228"/>
      <c r="O72" s="107"/>
      <c r="P72" s="108"/>
      <c r="Q72" s="106"/>
      <c r="R72" s="107"/>
      <c r="S72" s="106"/>
      <c r="T72" s="106"/>
      <c r="U72" s="108"/>
      <c r="V72" s="241"/>
      <c r="W72" s="250" t="e">
        <f t="shared" si="0"/>
        <v>#REF!</v>
      </c>
      <c r="X72" s="46"/>
    </row>
    <row r="73" spans="1:45" s="40" customFormat="1" ht="24" customHeight="1">
      <c r="A73" s="141">
        <v>55799</v>
      </c>
      <c r="B73" s="234" t="s">
        <v>105</v>
      </c>
      <c r="C73" s="107"/>
      <c r="D73" s="106"/>
      <c r="E73" s="106"/>
      <c r="F73" s="228"/>
      <c r="G73" s="107" t="e">
        <f>SUM('120 libre Administ.'!#REF!)</f>
        <v>#REF!</v>
      </c>
      <c r="H73" s="106" t="e">
        <f>SUM('120 libre Administ.'!#REF!)</f>
        <v>#REF!</v>
      </c>
      <c r="I73" s="106"/>
      <c r="J73" s="228"/>
      <c r="K73" s="107"/>
      <c r="L73" s="106"/>
      <c r="M73" s="106"/>
      <c r="N73" s="228"/>
      <c r="O73" s="107"/>
      <c r="P73" s="108"/>
      <c r="Q73" s="106"/>
      <c r="R73" s="107"/>
      <c r="S73" s="106"/>
      <c r="T73" s="106"/>
      <c r="U73" s="108"/>
      <c r="V73" s="241"/>
      <c r="W73" s="250" t="e">
        <f t="shared" si="0"/>
        <v>#REF!</v>
      </c>
      <c r="X73" s="46"/>
    </row>
    <row r="74" spans="1:45" s="40" customFormat="1" ht="24" customHeight="1">
      <c r="A74" s="141">
        <v>56201</v>
      </c>
      <c r="B74" s="235" t="s">
        <v>107</v>
      </c>
      <c r="C74" s="107">
        <f>SUM('Concen. de  Recursos Huma'!C29)</f>
        <v>0</v>
      </c>
      <c r="D74" s="106"/>
      <c r="E74" s="106"/>
      <c r="F74" s="228"/>
      <c r="G74" s="107">
        <f>SUM('Concen. de  Recursos Huma'!C14+14400+1200+3600)</f>
        <v>19200</v>
      </c>
      <c r="H74" s="106"/>
      <c r="I74" s="106"/>
      <c r="J74" s="228"/>
      <c r="K74" s="107"/>
      <c r="L74" s="106"/>
      <c r="M74" s="106"/>
      <c r="N74" s="228"/>
      <c r="O74" s="107"/>
      <c r="P74" s="108"/>
      <c r="Q74" s="106"/>
      <c r="R74" s="107"/>
      <c r="S74" s="106"/>
      <c r="T74" s="106"/>
      <c r="U74" s="108"/>
      <c r="V74" s="241"/>
      <c r="W74" s="250">
        <f t="shared" si="0"/>
        <v>19200</v>
      </c>
      <c r="X74" s="46"/>
    </row>
    <row r="75" spans="1:45" s="40" customFormat="1" ht="24" customHeight="1">
      <c r="A75" s="141">
        <v>56303</v>
      </c>
      <c r="B75" s="234" t="s">
        <v>108</v>
      </c>
      <c r="C75" s="107"/>
      <c r="D75" s="106"/>
      <c r="E75" s="106"/>
      <c r="F75" s="228"/>
      <c r="G75" s="107"/>
      <c r="H75" s="106"/>
      <c r="I75" s="106"/>
      <c r="J75" s="228"/>
      <c r="K75" s="107"/>
      <c r="L75" s="106"/>
      <c r="M75" s="106"/>
      <c r="N75" s="228"/>
      <c r="O75" s="107"/>
      <c r="P75" s="108"/>
      <c r="Q75" s="106"/>
      <c r="R75" s="107"/>
      <c r="S75" s="106"/>
      <c r="T75" s="106"/>
      <c r="U75" s="108"/>
      <c r="V75" s="241"/>
      <c r="W75" s="250">
        <f t="shared" ref="W75:W95" si="1">+SUM(C75:V75)</f>
        <v>0</v>
      </c>
      <c r="X75" s="46"/>
    </row>
    <row r="76" spans="1:45" s="40" customFormat="1" ht="24" customHeight="1">
      <c r="A76" s="141">
        <v>56304</v>
      </c>
      <c r="B76" s="234" t="s">
        <v>109</v>
      </c>
      <c r="C76" s="107">
        <f>SUM('FONDOS PROPIOS'!H31)</f>
        <v>15747.89</v>
      </c>
      <c r="D76" s="106"/>
      <c r="E76" s="106"/>
      <c r="F76" s="228"/>
      <c r="G76" s="107">
        <f>SUM('120 libre Administ.'!H51)</f>
        <v>900</v>
      </c>
      <c r="H76" s="106"/>
      <c r="I76" s="106"/>
      <c r="J76" s="228"/>
      <c r="K76" s="107"/>
      <c r="L76" s="106"/>
      <c r="M76" s="106"/>
      <c r="N76" s="285">
        <f>SUM('120- Libre disp, social'!H49)</f>
        <v>0</v>
      </c>
      <c r="O76" s="107"/>
      <c r="P76" s="108"/>
      <c r="Q76" s="106"/>
      <c r="R76" s="107">
        <f>SUM('INVER.FODES 75% AG 4'!H28)</f>
        <v>0</v>
      </c>
      <c r="S76" s="106"/>
      <c r="T76" s="106"/>
      <c r="U76" s="108"/>
      <c r="V76" s="241"/>
      <c r="W76" s="250">
        <f t="shared" si="1"/>
        <v>16647.89</v>
      </c>
      <c r="X76" s="46"/>
    </row>
    <row r="77" spans="1:45" s="40" customFormat="1" ht="24" customHeight="1">
      <c r="A77" s="141">
        <v>56305</v>
      </c>
      <c r="B77" s="234" t="s">
        <v>110</v>
      </c>
      <c r="C77" s="107"/>
      <c r="D77" s="106"/>
      <c r="E77" s="106"/>
      <c r="F77" s="228"/>
      <c r="G77" s="107"/>
      <c r="H77" s="106"/>
      <c r="I77" s="106"/>
      <c r="J77" s="228"/>
      <c r="K77" s="107"/>
      <c r="L77" s="106"/>
      <c r="M77" s="106"/>
      <c r="N77" s="228">
        <f>SUM('120- Libre disp, social'!H50)</f>
        <v>1503.9</v>
      </c>
      <c r="O77" s="107"/>
      <c r="P77" s="108"/>
      <c r="Q77" s="106"/>
      <c r="R77" s="107"/>
      <c r="S77" s="106"/>
      <c r="T77" s="106"/>
      <c r="U77" s="108"/>
      <c r="V77" s="241"/>
      <c r="W77" s="250">
        <f t="shared" si="1"/>
        <v>1503.9</v>
      </c>
      <c r="X77" s="46"/>
    </row>
    <row r="78" spans="1:45" s="40" customFormat="1" ht="24" customHeight="1">
      <c r="A78" s="141">
        <v>61101</v>
      </c>
      <c r="B78" s="234" t="s">
        <v>177</v>
      </c>
      <c r="C78" s="107"/>
      <c r="D78" s="106"/>
      <c r="E78" s="106"/>
      <c r="F78" s="228"/>
      <c r="G78" s="107">
        <f>SUM('120 libre Administ.'!H52)</f>
        <v>1000</v>
      </c>
      <c r="H78" s="106"/>
      <c r="I78" s="106"/>
      <c r="J78" s="228"/>
      <c r="K78" s="107"/>
      <c r="L78" s="106"/>
      <c r="M78" s="106"/>
      <c r="N78" s="228"/>
      <c r="O78" s="107"/>
      <c r="P78" s="108"/>
      <c r="Q78" s="106"/>
      <c r="R78" s="107"/>
      <c r="S78" s="106"/>
      <c r="T78" s="106"/>
      <c r="U78" s="108"/>
      <c r="V78" s="241"/>
      <c r="W78" s="250">
        <f t="shared" si="1"/>
        <v>1000</v>
      </c>
      <c r="X78" s="46"/>
    </row>
    <row r="79" spans="1:45" s="40" customFormat="1" ht="24" customHeight="1">
      <c r="A79" s="141">
        <v>61102</v>
      </c>
      <c r="B79" s="234" t="s">
        <v>162</v>
      </c>
      <c r="C79" s="107"/>
      <c r="D79" s="106"/>
      <c r="E79" s="106"/>
      <c r="F79" s="228"/>
      <c r="G79" s="107">
        <f>SUM('120 libre Administ.'!H53)</f>
        <v>500</v>
      </c>
      <c r="H79" s="106"/>
      <c r="I79" s="106"/>
      <c r="J79" s="228"/>
      <c r="K79" s="107"/>
      <c r="L79" s="106"/>
      <c r="M79" s="106"/>
      <c r="N79" s="228" t="e">
        <f>SUM('120- Libre disp, social'!#REF!)</f>
        <v>#REF!</v>
      </c>
      <c r="O79" s="107"/>
      <c r="P79" s="108"/>
      <c r="Q79" s="106"/>
      <c r="R79" s="107"/>
      <c r="S79" s="106"/>
      <c r="T79" s="106"/>
      <c r="U79" s="108"/>
      <c r="V79" s="241"/>
      <c r="W79" s="250" t="e">
        <f t="shared" si="1"/>
        <v>#REF!</v>
      </c>
      <c r="X79" s="46"/>
    </row>
    <row r="80" spans="1:45" s="40" customFormat="1" ht="24" customHeight="1">
      <c r="A80" s="134" t="s">
        <v>111</v>
      </c>
      <c r="B80" s="233" t="s">
        <v>112</v>
      </c>
      <c r="C80" s="107"/>
      <c r="D80" s="106"/>
      <c r="E80" s="106"/>
      <c r="F80" s="228"/>
      <c r="G80" s="107">
        <f>SUM('120 libre Administ.'!H54)</f>
        <v>0</v>
      </c>
      <c r="H80" s="106" t="e">
        <f>SUM('120 libre Administ.'!#REF!)</f>
        <v>#REF!</v>
      </c>
      <c r="I80" s="106"/>
      <c r="J80" s="228"/>
      <c r="K80" s="107"/>
      <c r="L80" s="106"/>
      <c r="M80" s="106"/>
      <c r="N80" s="228">
        <f>SUM('120- Libre disp, social'!H51)</f>
        <v>0</v>
      </c>
      <c r="O80" s="107"/>
      <c r="P80" s="108"/>
      <c r="Q80" s="106"/>
      <c r="R80" s="107"/>
      <c r="S80" s="106"/>
      <c r="T80" s="106"/>
      <c r="U80" s="108"/>
      <c r="V80" s="241"/>
      <c r="W80" s="250" t="e">
        <f t="shared" si="1"/>
        <v>#REF!</v>
      </c>
      <c r="X80" s="46"/>
    </row>
    <row r="81" spans="1:44" s="40" customFormat="1" ht="24" customHeight="1">
      <c r="A81" s="134" t="s">
        <v>418</v>
      </c>
      <c r="B81" s="233" t="s">
        <v>419</v>
      </c>
      <c r="C81" s="107"/>
      <c r="D81" s="106"/>
      <c r="E81" s="106"/>
      <c r="F81" s="228"/>
      <c r="G81" s="107"/>
      <c r="H81" s="106"/>
      <c r="I81" s="106"/>
      <c r="J81" s="228"/>
      <c r="K81" s="107"/>
      <c r="L81" s="106"/>
      <c r="M81" s="106"/>
      <c r="N81" s="228"/>
      <c r="O81" s="107"/>
      <c r="P81" s="108"/>
      <c r="Q81" s="106"/>
      <c r="R81" s="107"/>
      <c r="S81" s="106"/>
      <c r="T81" s="106"/>
      <c r="U81" s="108"/>
      <c r="V81" s="241"/>
      <c r="W81" s="250">
        <f t="shared" si="1"/>
        <v>0</v>
      </c>
      <c r="X81" s="46"/>
    </row>
    <row r="82" spans="1:44" s="40" customFormat="1" ht="24" customHeight="1">
      <c r="A82" s="134" t="s">
        <v>113</v>
      </c>
      <c r="B82" s="233" t="s">
        <v>114</v>
      </c>
      <c r="C82" s="107"/>
      <c r="D82" s="106"/>
      <c r="E82" s="106"/>
      <c r="F82" s="228"/>
      <c r="G82" s="107">
        <f>SUM('120 libre Administ.'!H55)</f>
        <v>500</v>
      </c>
      <c r="H82" s="106"/>
      <c r="I82" s="106"/>
      <c r="J82" s="228"/>
      <c r="K82" s="107"/>
      <c r="L82" s="106"/>
      <c r="M82" s="106"/>
      <c r="N82" s="228"/>
      <c r="O82" s="107"/>
      <c r="P82" s="108"/>
      <c r="Q82" s="106"/>
      <c r="R82" s="107"/>
      <c r="S82" s="106"/>
      <c r="T82" s="106"/>
      <c r="U82" s="108"/>
      <c r="V82" s="241"/>
      <c r="W82" s="250">
        <f t="shared" si="1"/>
        <v>500</v>
      </c>
      <c r="X82" s="46"/>
    </row>
    <row r="83" spans="1:44" s="40" customFormat="1" ht="24" customHeight="1">
      <c r="A83" s="134" t="s">
        <v>115</v>
      </c>
      <c r="B83" s="233" t="s">
        <v>116</v>
      </c>
      <c r="C83" s="107"/>
      <c r="D83" s="106"/>
      <c r="E83" s="106"/>
      <c r="F83" s="228"/>
      <c r="G83" s="107"/>
      <c r="H83" s="106"/>
      <c r="I83" s="106"/>
      <c r="J83" s="228"/>
      <c r="K83" s="107" t="e">
        <f>SUM('120- Libre disp, social'!#REF!)</f>
        <v>#REF!</v>
      </c>
      <c r="L83" s="106"/>
      <c r="M83" s="106"/>
      <c r="N83" s="228"/>
      <c r="O83" s="107"/>
      <c r="P83" s="108"/>
      <c r="Q83" s="106"/>
      <c r="R83" s="107">
        <f>SUM('INVER.FODES 75% AG 4'!H30)</f>
        <v>0</v>
      </c>
      <c r="S83" s="106"/>
      <c r="T83" s="106"/>
      <c r="U83" s="108"/>
      <c r="V83" s="241"/>
      <c r="W83" s="250" t="e">
        <f t="shared" si="1"/>
        <v>#REF!</v>
      </c>
      <c r="X83" s="46"/>
    </row>
    <row r="84" spans="1:44" s="40" customFormat="1" ht="24" customHeight="1">
      <c r="A84" s="134" t="s">
        <v>117</v>
      </c>
      <c r="B84" s="233" t="s">
        <v>118</v>
      </c>
      <c r="C84" s="107"/>
      <c r="D84" s="106"/>
      <c r="E84" s="106"/>
      <c r="F84" s="228"/>
      <c r="G84" s="107" t="e">
        <f>SUM('120 libre Administ.'!#REF!)</f>
        <v>#REF!</v>
      </c>
      <c r="H84" s="106"/>
      <c r="I84" s="106"/>
      <c r="J84" s="228"/>
      <c r="K84" s="107"/>
      <c r="L84" s="106"/>
      <c r="M84" s="106"/>
      <c r="N84" s="228"/>
      <c r="O84" s="107"/>
      <c r="P84" s="108"/>
      <c r="Q84" s="106"/>
      <c r="R84" s="107"/>
      <c r="S84" s="106"/>
      <c r="T84" s="106"/>
      <c r="U84" s="108"/>
      <c r="V84" s="241"/>
      <c r="W84" s="250" t="e">
        <f t="shared" si="1"/>
        <v>#REF!</v>
      </c>
      <c r="X84" s="46"/>
    </row>
    <row r="85" spans="1:44" s="40" customFormat="1" ht="24" customHeight="1">
      <c r="A85" s="141">
        <v>61599</v>
      </c>
      <c r="B85" s="233" t="s">
        <v>119</v>
      </c>
      <c r="C85" s="107"/>
      <c r="D85" s="106"/>
      <c r="E85" s="106"/>
      <c r="F85" s="228"/>
      <c r="G85" s="107"/>
      <c r="H85" s="106"/>
      <c r="I85" s="106"/>
      <c r="J85" s="228"/>
      <c r="K85" s="107" t="e">
        <f>SUM('120- Libre disp, social'!#REF!)</f>
        <v>#REF!</v>
      </c>
      <c r="L85" s="106"/>
      <c r="M85" s="106"/>
      <c r="N85" s="228" t="e">
        <f>SUM('120- Libre disp, social'!#REF!)</f>
        <v>#REF!</v>
      </c>
      <c r="O85" s="107"/>
      <c r="P85" s="108"/>
      <c r="Q85" s="106"/>
      <c r="R85" s="107">
        <f>SUM('INVER.FODES 75% AG 4'!H29)</f>
        <v>0</v>
      </c>
      <c r="S85" s="106"/>
      <c r="T85" s="106"/>
      <c r="U85" s="108"/>
      <c r="V85" s="241"/>
      <c r="W85" s="250" t="e">
        <f t="shared" si="1"/>
        <v>#REF!</v>
      </c>
      <c r="X85" s="46"/>
    </row>
    <row r="86" spans="1:44" s="40" customFormat="1" ht="24" customHeight="1">
      <c r="A86" s="141">
        <v>61601</v>
      </c>
      <c r="B86" s="233" t="s">
        <v>120</v>
      </c>
      <c r="C86" s="107"/>
      <c r="D86" s="106"/>
      <c r="E86" s="139"/>
      <c r="F86" s="228"/>
      <c r="G86" s="107"/>
      <c r="H86" s="106"/>
      <c r="I86" s="106"/>
      <c r="J86" s="228"/>
      <c r="K86" s="107"/>
      <c r="L86" s="106"/>
      <c r="M86" s="106"/>
      <c r="N86" s="228"/>
      <c r="O86" s="107"/>
      <c r="P86" s="108"/>
      <c r="Q86" s="106"/>
      <c r="R86" s="107">
        <f>SUM('INVER.FODES 75% AG 4'!H31)</f>
        <v>0</v>
      </c>
      <c r="S86" s="106"/>
      <c r="T86" s="106"/>
      <c r="U86" s="108"/>
      <c r="V86" s="241"/>
      <c r="W86" s="250">
        <f t="shared" si="1"/>
        <v>0</v>
      </c>
      <c r="X86" s="46"/>
    </row>
    <row r="87" spans="1:44" s="40" customFormat="1" ht="24" customHeight="1">
      <c r="A87" s="141">
        <v>61602</v>
      </c>
      <c r="B87" s="233" t="s">
        <v>121</v>
      </c>
      <c r="C87" s="107"/>
      <c r="D87" s="106"/>
      <c r="E87" s="106"/>
      <c r="F87" s="228"/>
      <c r="G87" s="107"/>
      <c r="H87" s="106"/>
      <c r="I87" s="106"/>
      <c r="J87" s="228"/>
      <c r="K87" s="107"/>
      <c r="L87" s="106"/>
      <c r="M87" s="106"/>
      <c r="N87" s="228"/>
      <c r="O87" s="107"/>
      <c r="P87" s="108"/>
      <c r="Q87" s="106"/>
      <c r="R87" s="107"/>
      <c r="S87" s="106"/>
      <c r="T87" s="106"/>
      <c r="U87" s="108"/>
      <c r="V87" s="241"/>
      <c r="W87" s="250">
        <f t="shared" si="1"/>
        <v>0</v>
      </c>
      <c r="X87" s="46"/>
    </row>
    <row r="88" spans="1:44" s="40" customFormat="1" ht="24" customHeight="1">
      <c r="A88" s="141">
        <v>61603</v>
      </c>
      <c r="B88" s="236" t="s">
        <v>122</v>
      </c>
      <c r="C88" s="107"/>
      <c r="D88" s="106"/>
      <c r="E88" s="106"/>
      <c r="F88" s="228"/>
      <c r="G88" s="107"/>
      <c r="H88" s="106"/>
      <c r="I88" s="106"/>
      <c r="J88" s="228"/>
      <c r="K88" s="107" t="e">
        <f>SUM('120- Libre disp, social'!#REF!)</f>
        <v>#REF!</v>
      </c>
      <c r="L88" s="106"/>
      <c r="M88" s="106" t="e">
        <f>SUM('120- Libre disp, social'!#REF!)</f>
        <v>#REF!</v>
      </c>
      <c r="N88" s="228"/>
      <c r="O88" s="107"/>
      <c r="P88" s="108"/>
      <c r="Q88" s="106"/>
      <c r="R88" s="107"/>
      <c r="S88" s="106"/>
      <c r="T88" s="106"/>
      <c r="U88" s="108"/>
      <c r="V88" s="241"/>
      <c r="W88" s="250" t="e">
        <f t="shared" si="1"/>
        <v>#REF!</v>
      </c>
      <c r="X88" s="46"/>
    </row>
    <row r="89" spans="1:44" s="40" customFormat="1" ht="24" customHeight="1">
      <c r="A89" s="141">
        <v>61604</v>
      </c>
      <c r="B89" s="236" t="s">
        <v>620</v>
      </c>
      <c r="C89" s="107"/>
      <c r="D89" s="106"/>
      <c r="E89" s="106"/>
      <c r="F89" s="228"/>
      <c r="G89" s="107"/>
      <c r="H89" s="106"/>
      <c r="I89" s="106"/>
      <c r="J89" s="228"/>
      <c r="K89" s="107" t="e">
        <f>SUM('120- Libre disp, social'!#REF!)</f>
        <v>#REF!</v>
      </c>
      <c r="L89" s="106"/>
      <c r="M89" s="106"/>
      <c r="N89" s="228"/>
      <c r="O89" s="107"/>
      <c r="P89" s="108"/>
      <c r="Q89" s="106"/>
      <c r="R89" s="107"/>
      <c r="S89" s="106"/>
      <c r="T89" s="106"/>
      <c r="U89" s="108"/>
      <c r="V89" s="241"/>
      <c r="W89" s="250" t="e">
        <f t="shared" si="1"/>
        <v>#REF!</v>
      </c>
      <c r="X89" s="46"/>
    </row>
    <row r="90" spans="1:44" s="40" customFormat="1" ht="24" customHeight="1">
      <c r="A90" s="141">
        <v>61606</v>
      </c>
      <c r="B90" s="233" t="s">
        <v>123</v>
      </c>
      <c r="C90" s="107"/>
      <c r="D90" s="106"/>
      <c r="E90" s="106"/>
      <c r="F90" s="228"/>
      <c r="G90" s="107"/>
      <c r="H90" s="106"/>
      <c r="I90" s="106"/>
      <c r="J90" s="228"/>
      <c r="K90" s="107"/>
      <c r="L90" s="106"/>
      <c r="M90" s="106"/>
      <c r="N90" s="228"/>
      <c r="O90" s="107"/>
      <c r="P90" s="108"/>
      <c r="Q90" s="106"/>
      <c r="R90" s="107">
        <f>SUM('INVER.FODES 75% AG 4'!$H$32)</f>
        <v>0</v>
      </c>
      <c r="S90" s="106"/>
      <c r="T90" s="106"/>
      <c r="U90" s="108"/>
      <c r="V90" s="241"/>
      <c r="W90" s="250">
        <f t="shared" si="1"/>
        <v>0</v>
      </c>
      <c r="X90" s="46"/>
    </row>
    <row r="91" spans="1:44" s="40" customFormat="1" ht="24" customHeight="1">
      <c r="A91" s="141">
        <v>61608</v>
      </c>
      <c r="B91" s="234" t="s">
        <v>124</v>
      </c>
      <c r="C91" s="107"/>
      <c r="D91" s="106"/>
      <c r="E91" s="106"/>
      <c r="F91" s="228"/>
      <c r="G91" s="107"/>
      <c r="H91" s="106"/>
      <c r="I91" s="106"/>
      <c r="J91" s="228"/>
      <c r="K91" s="107" t="e">
        <f>SUM('120- Libre disp, social'!#REF!)</f>
        <v>#REF!</v>
      </c>
      <c r="L91" s="106"/>
      <c r="M91" s="106" t="e">
        <f>SUM('120- Libre disp, social'!#REF!)</f>
        <v>#REF!</v>
      </c>
      <c r="N91" s="228">
        <f>SUM('120- Libre disp, social'!H56)</f>
        <v>0</v>
      </c>
      <c r="O91" s="107"/>
      <c r="P91" s="108"/>
      <c r="Q91" s="106"/>
      <c r="R91" s="107">
        <f>SUM('INVER.FODES 75% AG 4'!$H$33)</f>
        <v>0</v>
      </c>
      <c r="S91" s="106"/>
      <c r="T91" s="106"/>
      <c r="U91" s="108"/>
      <c r="V91" s="241"/>
      <c r="W91" s="250" t="e">
        <f t="shared" si="1"/>
        <v>#REF!</v>
      </c>
      <c r="X91" s="46"/>
    </row>
    <row r="92" spans="1:44" s="135" customFormat="1" ht="24" customHeight="1">
      <c r="A92" s="136">
        <v>61699</v>
      </c>
      <c r="B92" s="234" t="s">
        <v>125</v>
      </c>
      <c r="C92" s="109"/>
      <c r="D92" s="110"/>
      <c r="E92" s="110"/>
      <c r="F92" s="229"/>
      <c r="G92" s="109"/>
      <c r="H92" s="110"/>
      <c r="I92" s="110"/>
      <c r="J92" s="229"/>
      <c r="K92" s="109"/>
      <c r="L92" s="110"/>
      <c r="M92" s="110"/>
      <c r="N92" s="229"/>
      <c r="O92" s="109"/>
      <c r="P92" s="108"/>
      <c r="Q92" s="106"/>
      <c r="R92" s="109"/>
      <c r="S92" s="110"/>
      <c r="T92" s="110"/>
      <c r="U92" s="111"/>
      <c r="V92" s="243"/>
      <c r="W92" s="250">
        <f t="shared" si="1"/>
        <v>0</v>
      </c>
    </row>
    <row r="93" spans="1:44" s="135" customFormat="1" ht="24" customHeight="1">
      <c r="A93" s="136">
        <v>62201</v>
      </c>
      <c r="B93" s="234" t="s">
        <v>421</v>
      </c>
      <c r="C93" s="109"/>
      <c r="D93" s="110"/>
      <c r="E93" s="110"/>
      <c r="F93" s="229"/>
      <c r="G93" s="109"/>
      <c r="H93" s="110"/>
      <c r="I93" s="110"/>
      <c r="J93" s="229"/>
      <c r="K93" s="109"/>
      <c r="L93" s="110"/>
      <c r="M93" s="110"/>
      <c r="N93" s="229"/>
      <c r="O93" s="109"/>
      <c r="P93" s="108"/>
      <c r="Q93" s="106"/>
      <c r="R93" s="109"/>
      <c r="S93" s="110"/>
      <c r="T93" s="110"/>
      <c r="U93" s="111"/>
      <c r="V93" s="243"/>
      <c r="W93" s="250">
        <f t="shared" si="1"/>
        <v>0</v>
      </c>
    </row>
    <row r="94" spans="1:44" s="135" customFormat="1" ht="24" customHeight="1">
      <c r="A94" s="136">
        <v>71304</v>
      </c>
      <c r="B94" s="235" t="s">
        <v>178</v>
      </c>
      <c r="C94" s="109"/>
      <c r="D94" s="110"/>
      <c r="E94" s="110"/>
      <c r="F94" s="229"/>
      <c r="G94" s="109"/>
      <c r="H94" s="110"/>
      <c r="I94" s="110"/>
      <c r="J94" s="229"/>
      <c r="K94" s="109"/>
      <c r="L94" s="110"/>
      <c r="M94" s="110"/>
      <c r="N94" s="229"/>
      <c r="O94" s="109"/>
      <c r="P94" s="111"/>
      <c r="Q94" s="110"/>
      <c r="R94" s="109"/>
      <c r="S94" s="110"/>
      <c r="T94" s="110"/>
      <c r="U94" s="111"/>
      <c r="V94" s="241">
        <f>SUM('Pres.Servicio Deuda Publica'!H13)</f>
        <v>0</v>
      </c>
      <c r="W94" s="250">
        <f t="shared" si="1"/>
        <v>0</v>
      </c>
    </row>
    <row r="95" spans="1:44" s="135" customFormat="1" ht="24" customHeight="1" thickBot="1">
      <c r="A95" s="137">
        <v>72101</v>
      </c>
      <c r="B95" s="237" t="s">
        <v>126</v>
      </c>
      <c r="C95" s="112">
        <f>SUM('FONDOS PROPIOS'!H32)</f>
        <v>0</v>
      </c>
      <c r="D95" s="113"/>
      <c r="E95" s="113"/>
      <c r="F95" s="230"/>
      <c r="G95" s="112"/>
      <c r="H95" s="113"/>
      <c r="I95" s="113"/>
      <c r="J95" s="230"/>
      <c r="K95" s="112"/>
      <c r="L95" s="113"/>
      <c r="M95" s="113"/>
      <c r="N95" s="239" t="e">
        <f>SUM('120- Libre disp, social'!#REF!)</f>
        <v>#REF!</v>
      </c>
      <c r="O95" s="112"/>
      <c r="P95" s="345"/>
      <c r="Q95" s="110"/>
      <c r="R95" s="112"/>
      <c r="S95" s="113"/>
      <c r="T95" s="113"/>
      <c r="U95" s="114"/>
      <c r="V95" s="244"/>
      <c r="W95" s="250" t="e">
        <f t="shared" si="1"/>
        <v>#REF!</v>
      </c>
    </row>
    <row r="96" spans="1:44" s="40" customFormat="1" ht="24" customHeight="1" thickBot="1">
      <c r="A96" s="231"/>
      <c r="B96" s="232" t="s">
        <v>15</v>
      </c>
      <c r="C96" s="372">
        <f>SUM(C10:C95)</f>
        <v>212737.05</v>
      </c>
      <c r="D96" s="373" t="e">
        <f t="shared" ref="D96:V96" si="2">SUM(D10:D95)</f>
        <v>#REF!</v>
      </c>
      <c r="E96" s="373">
        <f t="shared" si="2"/>
        <v>0</v>
      </c>
      <c r="F96" s="374">
        <f>SUM(F10:F95)</f>
        <v>46735.360000000001</v>
      </c>
      <c r="G96" s="375" t="e">
        <f>SUM(G10:G95)</f>
        <v>#REF!</v>
      </c>
      <c r="H96" s="372" t="e">
        <f t="shared" si="2"/>
        <v>#REF!</v>
      </c>
      <c r="I96" s="372" t="e">
        <f t="shared" si="2"/>
        <v>#REF!</v>
      </c>
      <c r="J96" s="374" t="e">
        <f t="shared" si="2"/>
        <v>#REF!</v>
      </c>
      <c r="K96" s="372" t="e">
        <f t="shared" ref="K96:R96" si="3">SUM(K10:K95)</f>
        <v>#REF!</v>
      </c>
      <c r="L96" s="372">
        <f t="shared" si="3"/>
        <v>0</v>
      </c>
      <c r="M96" s="372" t="e">
        <f t="shared" si="3"/>
        <v>#REF!</v>
      </c>
      <c r="N96" s="372" t="e">
        <f t="shared" si="3"/>
        <v>#REF!</v>
      </c>
      <c r="O96" s="372">
        <f t="shared" si="3"/>
        <v>0</v>
      </c>
      <c r="P96" s="372">
        <f t="shared" si="3"/>
        <v>0</v>
      </c>
      <c r="Q96" s="376">
        <f t="shared" si="3"/>
        <v>0</v>
      </c>
      <c r="R96" s="377" t="e">
        <f t="shared" si="3"/>
        <v>#REF!</v>
      </c>
      <c r="S96" s="372">
        <f t="shared" si="2"/>
        <v>0</v>
      </c>
      <c r="T96" s="373">
        <f t="shared" si="2"/>
        <v>0</v>
      </c>
      <c r="U96" s="378">
        <f t="shared" si="2"/>
        <v>0</v>
      </c>
      <c r="V96" s="379">
        <f t="shared" si="2"/>
        <v>0</v>
      </c>
      <c r="W96" s="380" t="e">
        <f>+SUM(C96:V96)</f>
        <v>#REF!</v>
      </c>
      <c r="X96" s="46"/>
    </row>
    <row r="97" spans="1:24" s="40" customFormat="1" ht="16.5" customHeight="1" thickBot="1">
      <c r="A97" s="46"/>
      <c r="B97" s="157"/>
      <c r="C97" s="165" t="s">
        <v>397</v>
      </c>
      <c r="D97" s="1427">
        <f>SUM(INGRESOS!I52)</f>
        <v>323197.02</v>
      </c>
      <c r="E97" s="1428"/>
      <c r="F97" s="156"/>
      <c r="G97" s="158" t="s">
        <v>397</v>
      </c>
      <c r="H97" s="1427">
        <f>SUM('Saldos de ctas. Bancarias'!C67)</f>
        <v>68.05</v>
      </c>
      <c r="I97" s="1428"/>
      <c r="J97" s="156"/>
      <c r="K97" s="1429" t="s">
        <v>400</v>
      </c>
      <c r="L97" s="1430"/>
      <c r="M97" s="1431"/>
      <c r="N97" s="1427">
        <f>SUM(INGRESOS!D52)</f>
        <v>608792.13</v>
      </c>
      <c r="O97" s="1428"/>
      <c r="P97" s="148" t="s">
        <v>402</v>
      </c>
      <c r="Q97" s="148" t="s">
        <v>397</v>
      </c>
      <c r="R97" s="159"/>
      <c r="S97" s="160" t="s">
        <v>429</v>
      </c>
      <c r="T97" s="161">
        <f>M95+S95</f>
        <v>0</v>
      </c>
      <c r="U97" s="145" t="s">
        <v>422</v>
      </c>
      <c r="V97" s="161">
        <f>O95+U95</f>
        <v>0</v>
      </c>
      <c r="W97" s="382" t="e">
        <f>SUM(W10:W95)</f>
        <v>#REF!</v>
      </c>
      <c r="X97" s="46"/>
    </row>
    <row r="98" spans="1:24" s="46" customFormat="1" ht="16.5" customHeight="1" thickTop="1">
      <c r="B98" s="157"/>
      <c r="C98" s="162" t="s">
        <v>387</v>
      </c>
      <c r="D98" s="1419" t="e">
        <f>SUM(C96:F96)</f>
        <v>#REF!</v>
      </c>
      <c r="E98" s="1420"/>
      <c r="F98" s="156"/>
      <c r="G98" s="164" t="s">
        <v>195</v>
      </c>
      <c r="H98" s="1419" t="e">
        <f>SUM(G96:J96)</f>
        <v>#REF!</v>
      </c>
      <c r="I98" s="1420"/>
      <c r="J98" s="156"/>
      <c r="K98" s="1432" t="s">
        <v>386</v>
      </c>
      <c r="L98" s="1433"/>
      <c r="M98" s="1434"/>
      <c r="N98" s="1419" t="e">
        <f>K96+N96+R96+V96</f>
        <v>#REF!</v>
      </c>
      <c r="O98" s="1420"/>
      <c r="P98" s="147" t="s">
        <v>385</v>
      </c>
      <c r="Q98" s="147" t="s">
        <v>602</v>
      </c>
      <c r="R98" s="144">
        <f>P96+U96</f>
        <v>0</v>
      </c>
      <c r="S98" s="143" t="s">
        <v>184</v>
      </c>
      <c r="T98" s="146" t="e">
        <f>M96+S96</f>
        <v>#REF!</v>
      </c>
      <c r="U98" s="145"/>
      <c r="V98" s="149">
        <f>O96+T96</f>
        <v>0</v>
      </c>
    </row>
    <row r="99" spans="1:24" s="40" customFormat="1" ht="16.5" customHeight="1" thickBot="1">
      <c r="A99" s="46"/>
      <c r="B99" s="157"/>
      <c r="C99" s="163" t="s">
        <v>398</v>
      </c>
      <c r="D99" s="1435" t="e">
        <f>D97-D98</f>
        <v>#REF!</v>
      </c>
      <c r="E99" s="1436"/>
      <c r="F99" s="156"/>
      <c r="G99" s="381" t="s">
        <v>398</v>
      </c>
      <c r="H99" s="1435" t="e">
        <f>H97-H98</f>
        <v>#REF!</v>
      </c>
      <c r="I99" s="1436"/>
      <c r="J99" s="148"/>
      <c r="K99" s="1440" t="s">
        <v>398</v>
      </c>
      <c r="L99" s="1441"/>
      <c r="M99" s="1442"/>
      <c r="N99" s="1435" t="e">
        <f>N97-N98</f>
        <v>#REF!</v>
      </c>
      <c r="O99" s="1436"/>
      <c r="P99" s="152" t="s">
        <v>398</v>
      </c>
      <c r="Q99" s="152"/>
      <c r="R99" s="153"/>
      <c r="S99" s="154"/>
      <c r="T99" s="155"/>
      <c r="U99" s="150" t="s">
        <v>398</v>
      </c>
      <c r="V99" s="151">
        <f>V97-V98</f>
        <v>0</v>
      </c>
      <c r="W99" s="46"/>
      <c r="X99" s="46"/>
    </row>
    <row r="100" spans="1:24" s="56" customFormat="1" ht="15.75" customHeight="1">
      <c r="A100" s="59"/>
      <c r="B100" s="138"/>
      <c r="C100" s="46"/>
      <c r="D100" s="46"/>
      <c r="E100" s="46"/>
      <c r="F100" s="46"/>
      <c r="G100" s="46"/>
      <c r="H100" s="46"/>
      <c r="I100" s="46"/>
      <c r="J100" s="46"/>
      <c r="K100" s="43"/>
      <c r="L100" s="46"/>
      <c r="M100" s="46"/>
      <c r="N100" s="1437"/>
      <c r="O100" s="1437"/>
      <c r="P100" s="46"/>
      <c r="Q100" s="46"/>
      <c r="R100" s="46"/>
      <c r="S100" s="46"/>
      <c r="T100" s="46"/>
      <c r="U100" s="46"/>
      <c r="V100" s="46"/>
      <c r="W100" s="46"/>
      <c r="X100" s="59"/>
    </row>
    <row r="101" spans="1:24" s="56" customFormat="1" ht="15.75" customHeight="1">
      <c r="A101" s="59"/>
      <c r="B101" s="138"/>
      <c r="C101" s="46"/>
      <c r="D101" s="46"/>
      <c r="E101" s="46"/>
      <c r="F101" s="46"/>
      <c r="G101" s="46"/>
      <c r="H101" s="46"/>
      <c r="I101" s="46"/>
      <c r="J101" s="46"/>
      <c r="K101" s="43"/>
      <c r="L101" s="46"/>
      <c r="M101" s="46"/>
      <c r="N101" s="46"/>
      <c r="O101" s="46"/>
      <c r="P101" s="46"/>
      <c r="Q101" s="46"/>
      <c r="R101" s="46"/>
      <c r="S101" s="46"/>
      <c r="T101" s="46"/>
      <c r="U101" s="46"/>
      <c r="V101" s="46" t="s">
        <v>423</v>
      </c>
      <c r="W101" s="46"/>
      <c r="X101" s="59"/>
    </row>
    <row r="102" spans="1:24">
      <c r="O102" s="46"/>
      <c r="P102" s="46"/>
      <c r="Q102" s="46"/>
      <c r="R102" s="46"/>
      <c r="T102" s="46"/>
      <c r="U102" s="46"/>
      <c r="W102" s="347"/>
    </row>
    <row r="103" spans="1:24">
      <c r="O103" s="46"/>
      <c r="P103" s="46"/>
      <c r="Q103" s="46"/>
      <c r="R103" s="46"/>
      <c r="T103" s="46"/>
      <c r="U103" s="46"/>
    </row>
    <row r="104" spans="1:24">
      <c r="O104" s="46"/>
      <c r="P104" s="46"/>
      <c r="Q104" s="46"/>
      <c r="R104" s="46"/>
      <c r="T104" s="46"/>
      <c r="U104" s="46"/>
    </row>
    <row r="105" spans="1:24">
      <c r="O105" s="46"/>
      <c r="P105" s="46"/>
      <c r="Q105" s="46"/>
      <c r="R105" s="46"/>
      <c r="T105" s="46"/>
      <c r="U105" s="46"/>
    </row>
    <row r="106" spans="1:24">
      <c r="O106" s="46"/>
      <c r="P106" s="46"/>
      <c r="Q106" s="46"/>
      <c r="R106" s="46"/>
      <c r="T106" s="46"/>
      <c r="U106" s="46"/>
    </row>
    <row r="107" spans="1:24">
      <c r="O107" s="46"/>
      <c r="P107" s="46"/>
      <c r="Q107" s="46"/>
      <c r="R107" s="46"/>
      <c r="T107" s="46"/>
      <c r="U107" s="46"/>
    </row>
    <row r="108" spans="1:24">
      <c r="O108" s="46"/>
      <c r="P108" s="46"/>
      <c r="Q108" s="46"/>
      <c r="R108" s="46"/>
      <c r="T108" s="46"/>
      <c r="U108" s="46"/>
    </row>
    <row r="109" spans="1:24">
      <c r="O109" s="46"/>
      <c r="P109" s="46"/>
      <c r="Q109" s="46"/>
      <c r="R109" s="46"/>
      <c r="T109" s="46"/>
      <c r="U109" s="46"/>
    </row>
    <row r="110" spans="1:24">
      <c r="O110" s="46"/>
      <c r="P110" s="46"/>
      <c r="Q110" s="46"/>
      <c r="R110" s="46"/>
      <c r="T110" s="46"/>
      <c r="U110" s="46"/>
    </row>
    <row r="111" spans="1:24">
      <c r="O111" s="46"/>
      <c r="P111" s="46"/>
      <c r="Q111" s="46"/>
      <c r="R111" s="46"/>
      <c r="T111" s="46"/>
      <c r="U111" s="46"/>
    </row>
    <row r="112" spans="1:24">
      <c r="O112" s="46"/>
      <c r="P112" s="46"/>
      <c r="Q112" s="46"/>
      <c r="R112" s="46"/>
      <c r="T112" s="46"/>
      <c r="U112" s="46"/>
    </row>
    <row r="113" spans="15:21">
      <c r="O113" s="46"/>
      <c r="P113" s="46"/>
      <c r="Q113" s="46"/>
      <c r="R113" s="46"/>
      <c r="T113" s="46"/>
      <c r="U113" s="46"/>
    </row>
    <row r="114" spans="15:21">
      <c r="O114" s="46"/>
      <c r="P114" s="46"/>
      <c r="Q114" s="46"/>
      <c r="R114" s="46"/>
      <c r="T114" s="46"/>
      <c r="U114" s="46"/>
    </row>
    <row r="115" spans="15:21">
      <c r="O115" s="46"/>
      <c r="P115" s="46"/>
      <c r="Q115" s="46"/>
      <c r="R115" s="46"/>
      <c r="T115" s="46"/>
      <c r="U115" s="46"/>
    </row>
    <row r="116" spans="15:21">
      <c r="O116" s="46"/>
      <c r="P116" s="46"/>
      <c r="Q116" s="46"/>
      <c r="R116" s="46"/>
      <c r="T116" s="46"/>
      <c r="U116" s="46"/>
    </row>
    <row r="117" spans="15:21">
      <c r="O117" s="46"/>
      <c r="P117" s="46"/>
      <c r="Q117" s="46"/>
      <c r="R117" s="46"/>
      <c r="T117" s="46"/>
      <c r="U117" s="46"/>
    </row>
    <row r="118" spans="15:21">
      <c r="O118" s="46"/>
      <c r="P118" s="46"/>
      <c r="Q118" s="46"/>
      <c r="R118" s="46"/>
      <c r="T118" s="46"/>
      <c r="U118" s="46"/>
    </row>
    <row r="119" spans="15:21">
      <c r="O119" s="46"/>
      <c r="P119" s="46"/>
      <c r="Q119" s="46"/>
      <c r="R119" s="46"/>
      <c r="T119" s="46"/>
      <c r="U119" s="46"/>
    </row>
    <row r="120" spans="15:21">
      <c r="O120" s="46"/>
      <c r="P120" s="46"/>
      <c r="Q120" s="46"/>
      <c r="R120" s="46"/>
      <c r="T120" s="46"/>
      <c r="U120" s="46"/>
    </row>
    <row r="121" spans="15:21">
      <c r="O121" s="46"/>
      <c r="P121" s="46"/>
      <c r="Q121" s="46"/>
      <c r="R121" s="46"/>
      <c r="T121" s="46"/>
      <c r="U121" s="46"/>
    </row>
    <row r="122" spans="15:21">
      <c r="O122" s="46"/>
      <c r="P122" s="46"/>
      <c r="Q122" s="46"/>
      <c r="R122" s="46"/>
      <c r="T122" s="46"/>
      <c r="U122" s="46"/>
    </row>
    <row r="123" spans="15:21">
      <c r="O123" s="46"/>
      <c r="P123" s="46"/>
      <c r="Q123" s="46"/>
      <c r="R123" s="46"/>
      <c r="T123" s="46"/>
      <c r="U123" s="46"/>
    </row>
    <row r="124" spans="15:21">
      <c r="O124" s="46"/>
      <c r="P124" s="46"/>
      <c r="Q124" s="46"/>
      <c r="R124" s="46"/>
      <c r="T124" s="46"/>
      <c r="U124" s="46"/>
    </row>
    <row r="125" spans="15:21">
      <c r="O125" s="46"/>
      <c r="P125" s="46"/>
      <c r="Q125" s="46"/>
      <c r="R125" s="46"/>
      <c r="T125" s="46"/>
      <c r="U125" s="46"/>
    </row>
    <row r="126" spans="15:21">
      <c r="O126" s="46"/>
      <c r="P126" s="46"/>
      <c r="Q126" s="46"/>
      <c r="R126" s="46"/>
      <c r="T126" s="46"/>
      <c r="U126" s="46"/>
    </row>
    <row r="127" spans="15:21">
      <c r="O127" s="46"/>
      <c r="P127" s="46"/>
      <c r="Q127" s="46"/>
      <c r="R127" s="46"/>
      <c r="T127" s="46"/>
      <c r="U127" s="46"/>
    </row>
    <row r="128" spans="15:21">
      <c r="O128" s="46"/>
      <c r="P128" s="46"/>
      <c r="Q128" s="46"/>
      <c r="R128" s="46"/>
      <c r="T128" s="46"/>
      <c r="U128" s="46"/>
    </row>
    <row r="129" spans="16:21">
      <c r="P129" s="46"/>
      <c r="Q129" s="46"/>
      <c r="U129" s="46"/>
    </row>
    <row r="130" spans="16:21">
      <c r="P130" s="46"/>
      <c r="Q130" s="46"/>
      <c r="U130" s="46"/>
    </row>
    <row r="131" spans="16:21">
      <c r="P131" s="46"/>
      <c r="Q131" s="46"/>
      <c r="U131" s="46"/>
    </row>
    <row r="132" spans="16:21">
      <c r="P132" s="46"/>
      <c r="Q132" s="46"/>
      <c r="U132" s="46"/>
    </row>
    <row r="133" spans="16:21">
      <c r="P133" s="46"/>
      <c r="Q133" s="46"/>
      <c r="U133" s="46"/>
    </row>
    <row r="134" spans="16:21">
      <c r="P134" s="46"/>
      <c r="Q134" s="46"/>
      <c r="U134" s="46"/>
    </row>
    <row r="135" spans="16:21">
      <c r="P135" s="46"/>
      <c r="Q135" s="46"/>
      <c r="U135" s="46"/>
    </row>
    <row r="136" spans="16:21">
      <c r="P136" s="46"/>
      <c r="Q136" s="46"/>
      <c r="U136" s="46"/>
    </row>
  </sheetData>
  <mergeCells count="22">
    <mergeCell ref="H99:I99"/>
    <mergeCell ref="H98:I98"/>
    <mergeCell ref="N100:O100"/>
    <mergeCell ref="D99:E99"/>
    <mergeCell ref="W8:W9"/>
    <mergeCell ref="N99:O99"/>
    <mergeCell ref="K99:M99"/>
    <mergeCell ref="A1:W1"/>
    <mergeCell ref="A2:W2"/>
    <mergeCell ref="N98:O98"/>
    <mergeCell ref="A6:W6"/>
    <mergeCell ref="A7:W7"/>
    <mergeCell ref="C8:V8"/>
    <mergeCell ref="A3:W3"/>
    <mergeCell ref="A4:W4"/>
    <mergeCell ref="A5:W5"/>
    <mergeCell ref="D98:E98"/>
    <mergeCell ref="N97:O97"/>
    <mergeCell ref="D97:E97"/>
    <mergeCell ref="H97:I97"/>
    <mergeCell ref="K97:M97"/>
    <mergeCell ref="K98:M98"/>
  </mergeCells>
  <phoneticPr fontId="10" type="noConversion"/>
  <pageMargins left="0.21" right="0" top="0.35433070866141736" bottom="0.43307086614173229" header="0.11811023622047245" footer="0.27559055118110237"/>
  <pageSetup paperSize="5" scale="77" orientation="landscape" verticalDpi="300" r:id="rId1"/>
  <headerFooter alignWithMargins="0"/>
  <ignoredErrors>
    <ignoredError sqref="A10" numberStoredAsText="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U78"/>
  <sheetViews>
    <sheetView tabSelected="1" zoomScale="115" zoomScaleNormal="115" workbookViewId="0">
      <selection activeCell="B16" sqref="B16"/>
    </sheetView>
  </sheetViews>
  <sheetFormatPr baseColWidth="10" defaultRowHeight="12.75"/>
  <cols>
    <col min="1" max="1" width="4.28515625" customWidth="1"/>
    <col min="2" max="2" width="22.7109375" customWidth="1"/>
    <col min="3" max="3" width="13.85546875" customWidth="1"/>
    <col min="4" max="4" width="10.85546875" customWidth="1"/>
    <col min="6" max="6" width="13.28515625" customWidth="1"/>
    <col min="7" max="7" width="12.28515625" customWidth="1"/>
    <col min="9" max="9" width="12.42578125" customWidth="1"/>
    <col min="11" max="11" width="11" customWidth="1"/>
    <col min="12" max="12" width="11.42578125" customWidth="1"/>
    <col min="13" max="13" width="11.5703125" customWidth="1"/>
    <col min="14" max="14" width="12" customWidth="1"/>
    <col min="15" max="15" width="10.85546875" customWidth="1"/>
  </cols>
  <sheetData>
    <row r="1" spans="1:15" ht="26.25">
      <c r="A1" s="1445" t="s">
        <v>537</v>
      </c>
      <c r="B1" s="1445"/>
      <c r="C1" s="1445"/>
      <c r="D1" s="1445"/>
      <c r="E1" s="1445"/>
      <c r="F1" s="1445"/>
      <c r="G1" s="1445"/>
      <c r="H1" s="1445"/>
      <c r="I1" s="1445"/>
      <c r="J1" s="1445"/>
      <c r="K1" s="1445"/>
      <c r="L1" s="1445"/>
      <c r="M1" s="1445"/>
      <c r="N1" s="1445"/>
      <c r="O1" s="1445"/>
    </row>
    <row r="2" spans="1:15" s="1272" customFormat="1" ht="26.25">
      <c r="A2" s="1446" t="s">
        <v>911</v>
      </c>
      <c r="B2" s="1446"/>
      <c r="C2" s="1446"/>
      <c r="D2" s="1446"/>
      <c r="E2" s="1446"/>
      <c r="F2" s="1446"/>
      <c r="G2" s="1446"/>
      <c r="H2" s="1446"/>
      <c r="I2" s="1446"/>
      <c r="J2" s="1446"/>
      <c r="K2" s="1446"/>
      <c r="L2" s="1446"/>
      <c r="M2" s="1446"/>
      <c r="N2" s="1446"/>
      <c r="O2" s="1446"/>
    </row>
    <row r="3" spans="1:15" ht="23.25">
      <c r="A3" s="1413" t="s">
        <v>928</v>
      </c>
      <c r="B3" s="1413"/>
      <c r="C3" s="1413"/>
      <c r="D3" s="1413"/>
      <c r="E3" s="1413"/>
      <c r="F3" s="1413"/>
      <c r="G3" s="1413"/>
      <c r="H3" s="1413"/>
      <c r="I3" s="1413"/>
      <c r="J3" s="1413"/>
      <c r="K3" s="1413"/>
      <c r="L3" s="1413"/>
      <c r="M3" s="1413"/>
      <c r="N3" s="1413"/>
      <c r="O3" s="1413"/>
    </row>
    <row r="4" spans="1:15" ht="23.25">
      <c r="A4" s="1413" t="s">
        <v>790</v>
      </c>
      <c r="B4" s="1413"/>
      <c r="C4" s="1413"/>
      <c r="D4" s="1413"/>
      <c r="E4" s="1413"/>
      <c r="F4" s="1413"/>
      <c r="G4" s="1413"/>
      <c r="H4" s="1413"/>
      <c r="I4" s="1413"/>
      <c r="J4" s="1413"/>
      <c r="K4" s="1413"/>
      <c r="L4" s="1413"/>
      <c r="M4" s="1413"/>
      <c r="N4" s="1413"/>
      <c r="O4" s="1413"/>
    </row>
    <row r="5" spans="1:15" ht="8.25" customHeight="1"/>
    <row r="6" spans="1:15" ht="24.75" customHeight="1">
      <c r="A6" s="1414" t="s">
        <v>1075</v>
      </c>
      <c r="B6" s="1414"/>
      <c r="C6" s="1414"/>
      <c r="D6" s="1414"/>
      <c r="E6" s="1414"/>
      <c r="F6" s="1414"/>
      <c r="G6" s="1414"/>
      <c r="H6" s="1414"/>
      <c r="I6" s="1414"/>
      <c r="J6" s="1414"/>
      <c r="K6" s="1414"/>
      <c r="L6" s="1414"/>
      <c r="M6" s="1414"/>
      <c r="N6" s="1414"/>
      <c r="O6" s="1414"/>
    </row>
    <row r="7" spans="1:15" ht="20.25" customHeight="1">
      <c r="A7" s="1443" t="s">
        <v>607</v>
      </c>
      <c r="B7" s="1444"/>
      <c r="C7" s="1444"/>
      <c r="D7" s="1444"/>
      <c r="E7" s="1444"/>
      <c r="F7" s="1444"/>
      <c r="G7" s="1444"/>
      <c r="H7" s="1444"/>
      <c r="I7" s="1444"/>
      <c r="J7" s="1444"/>
      <c r="K7" s="1444"/>
      <c r="L7" s="1444"/>
      <c r="M7" s="1444"/>
      <c r="N7" s="1444"/>
      <c r="O7" s="1444"/>
    </row>
    <row r="8" spans="1:15" ht="24.75" customHeight="1">
      <c r="A8" s="1498" t="s">
        <v>239</v>
      </c>
      <c r="B8" s="1501" t="s">
        <v>457</v>
      </c>
      <c r="C8" s="1503" t="s">
        <v>458</v>
      </c>
      <c r="D8" s="1503" t="s">
        <v>832</v>
      </c>
      <c r="E8" s="1485" t="s">
        <v>459</v>
      </c>
      <c r="F8" s="1486"/>
      <c r="G8" s="1486"/>
      <c r="H8" s="1486"/>
      <c r="I8" s="1486"/>
      <c r="J8" s="1487"/>
      <c r="K8" s="1488" t="s">
        <v>460</v>
      </c>
      <c r="L8" s="1489"/>
      <c r="M8" s="1490"/>
      <c r="N8" s="1499" t="s">
        <v>193</v>
      </c>
      <c r="O8" s="1500"/>
    </row>
    <row r="9" spans="1:15" ht="87" customHeight="1">
      <c r="A9" s="1498"/>
      <c r="B9" s="1501"/>
      <c r="C9" s="1503"/>
      <c r="D9" s="1503"/>
      <c r="E9" s="455" t="s">
        <v>461</v>
      </c>
      <c r="F9" s="454" t="s">
        <v>941</v>
      </c>
      <c r="G9" s="454" t="s">
        <v>944</v>
      </c>
      <c r="H9" s="991" t="s">
        <v>942</v>
      </c>
      <c r="I9" s="991" t="s">
        <v>943</v>
      </c>
      <c r="J9" s="991" t="s">
        <v>945</v>
      </c>
      <c r="K9" s="454" t="s">
        <v>634</v>
      </c>
      <c r="L9" s="454" t="s">
        <v>513</v>
      </c>
      <c r="M9" s="454" t="s">
        <v>251</v>
      </c>
      <c r="N9" s="454" t="s">
        <v>462</v>
      </c>
      <c r="O9" s="454" t="s">
        <v>946</v>
      </c>
    </row>
    <row r="10" spans="1:15" ht="26.25" customHeight="1">
      <c r="A10" s="503">
        <v>1</v>
      </c>
      <c r="B10" s="504"/>
      <c r="C10" s="1939" t="s">
        <v>1099</v>
      </c>
      <c r="D10" s="835" t="s">
        <v>463</v>
      </c>
      <c r="E10" s="505">
        <v>360</v>
      </c>
      <c r="F10" s="505">
        <f t="shared" ref="F10:F19" si="0">E10*2</f>
        <v>720</v>
      </c>
      <c r="G10" s="505">
        <f>F10*12</f>
        <v>8640</v>
      </c>
      <c r="H10" s="505">
        <v>360</v>
      </c>
      <c r="I10" s="505">
        <f t="shared" ref="I10:I19" si="1">E10</f>
        <v>360</v>
      </c>
      <c r="J10" s="505">
        <f>SUM(G10:I10)</f>
        <v>9360</v>
      </c>
      <c r="K10" s="505"/>
      <c r="L10" s="505"/>
      <c r="M10" s="505"/>
      <c r="N10" s="505"/>
      <c r="O10" s="506">
        <f>J10-N10</f>
        <v>9360</v>
      </c>
    </row>
    <row r="11" spans="1:15" ht="26.25" customHeight="1">
      <c r="A11" s="64">
        <f t="shared" ref="A11:A20" si="2">+A10+1</f>
        <v>2</v>
      </c>
      <c r="B11" s="171"/>
      <c r="C11" s="1939" t="s">
        <v>1099</v>
      </c>
      <c r="D11" s="836" t="s">
        <v>463</v>
      </c>
      <c r="E11" s="505">
        <v>360</v>
      </c>
      <c r="F11" s="505">
        <f t="shared" si="0"/>
        <v>720</v>
      </c>
      <c r="G11" s="505">
        <f t="shared" ref="G11:G19" si="3">F11*12</f>
        <v>8640</v>
      </c>
      <c r="H11" s="505">
        <v>360</v>
      </c>
      <c r="I11" s="505">
        <f t="shared" si="1"/>
        <v>360</v>
      </c>
      <c r="J11" s="505">
        <f t="shared" ref="J11:J20" si="4">SUM(G11:I11)</f>
        <v>9360</v>
      </c>
      <c r="K11" s="505"/>
      <c r="L11" s="505"/>
      <c r="M11" s="505"/>
      <c r="N11" s="505"/>
      <c r="O11" s="506">
        <f t="shared" ref="O11:O20" si="5">J11-N11</f>
        <v>9360</v>
      </c>
    </row>
    <row r="12" spans="1:15" ht="26.25" customHeight="1">
      <c r="A12" s="64">
        <f t="shared" si="2"/>
        <v>3</v>
      </c>
      <c r="B12" s="844"/>
      <c r="C12" s="1939" t="s">
        <v>1099</v>
      </c>
      <c r="D12" s="836" t="s">
        <v>463</v>
      </c>
      <c r="E12" s="505">
        <v>360</v>
      </c>
      <c r="F12" s="505">
        <f t="shared" si="0"/>
        <v>720</v>
      </c>
      <c r="G12" s="505">
        <f t="shared" si="3"/>
        <v>8640</v>
      </c>
      <c r="H12" s="505">
        <v>360</v>
      </c>
      <c r="I12" s="505">
        <f t="shared" si="1"/>
        <v>360</v>
      </c>
      <c r="J12" s="505">
        <f t="shared" si="4"/>
        <v>9360</v>
      </c>
      <c r="K12" s="505"/>
      <c r="L12" s="505"/>
      <c r="M12" s="505"/>
      <c r="N12" s="505"/>
      <c r="O12" s="506">
        <f t="shared" si="5"/>
        <v>9360</v>
      </c>
    </row>
    <row r="13" spans="1:15" ht="26.25" customHeight="1">
      <c r="A13" s="64">
        <f>+A12+1</f>
        <v>4</v>
      </c>
      <c r="B13" s="844"/>
      <c r="C13" s="1939" t="s">
        <v>1099</v>
      </c>
      <c r="D13" s="836" t="s">
        <v>463</v>
      </c>
      <c r="E13" s="505">
        <v>360</v>
      </c>
      <c r="F13" s="505">
        <f t="shared" si="0"/>
        <v>720</v>
      </c>
      <c r="G13" s="505">
        <f t="shared" si="3"/>
        <v>8640</v>
      </c>
      <c r="H13" s="505">
        <v>360</v>
      </c>
      <c r="I13" s="505">
        <f t="shared" si="1"/>
        <v>360</v>
      </c>
      <c r="J13" s="505">
        <f t="shared" si="4"/>
        <v>9360</v>
      </c>
      <c r="K13" s="505"/>
      <c r="L13" s="505"/>
      <c r="M13" s="505"/>
      <c r="N13" s="505"/>
      <c r="O13" s="506">
        <f t="shared" si="5"/>
        <v>9360</v>
      </c>
    </row>
    <row r="14" spans="1:15" ht="26.25" customHeight="1">
      <c r="A14" s="64">
        <f t="shared" si="2"/>
        <v>5</v>
      </c>
      <c r="B14" s="171"/>
      <c r="C14" s="1939" t="s">
        <v>1099</v>
      </c>
      <c r="D14" s="836" t="s">
        <v>463</v>
      </c>
      <c r="E14" s="505">
        <v>360</v>
      </c>
      <c r="F14" s="505">
        <f t="shared" si="0"/>
        <v>720</v>
      </c>
      <c r="G14" s="505">
        <f t="shared" si="3"/>
        <v>8640</v>
      </c>
      <c r="H14" s="505">
        <v>360</v>
      </c>
      <c r="I14" s="505">
        <f t="shared" si="1"/>
        <v>360</v>
      </c>
      <c r="J14" s="505">
        <f t="shared" si="4"/>
        <v>9360</v>
      </c>
      <c r="K14" s="505"/>
      <c r="L14" s="505"/>
      <c r="M14" s="505"/>
      <c r="N14" s="505"/>
      <c r="O14" s="506">
        <f t="shared" si="5"/>
        <v>9360</v>
      </c>
    </row>
    <row r="15" spans="1:15" ht="26.25" customHeight="1">
      <c r="A15" s="64">
        <f t="shared" si="2"/>
        <v>6</v>
      </c>
      <c r="B15" s="171"/>
      <c r="C15" s="1939" t="s">
        <v>1099</v>
      </c>
      <c r="D15" s="836" t="s">
        <v>463</v>
      </c>
      <c r="E15" s="505">
        <v>360</v>
      </c>
      <c r="F15" s="505">
        <f t="shared" si="0"/>
        <v>720</v>
      </c>
      <c r="G15" s="505">
        <f t="shared" si="3"/>
        <v>8640</v>
      </c>
      <c r="H15" s="505">
        <v>360</v>
      </c>
      <c r="I15" s="505">
        <f t="shared" si="1"/>
        <v>360</v>
      </c>
      <c r="J15" s="505">
        <f t="shared" si="4"/>
        <v>9360</v>
      </c>
      <c r="K15" s="505"/>
      <c r="L15" s="505"/>
      <c r="M15" s="505"/>
      <c r="N15" s="505"/>
      <c r="O15" s="506">
        <f t="shared" si="5"/>
        <v>9360</v>
      </c>
    </row>
    <row r="16" spans="1:15" ht="26.25" customHeight="1">
      <c r="A16" s="64">
        <f t="shared" si="2"/>
        <v>7</v>
      </c>
      <c r="B16" s="171"/>
      <c r="C16" s="1939" t="s">
        <v>1099</v>
      </c>
      <c r="D16" s="836" t="s">
        <v>463</v>
      </c>
      <c r="E16" s="170">
        <v>280</v>
      </c>
      <c r="F16" s="505">
        <f t="shared" si="0"/>
        <v>560</v>
      </c>
      <c r="G16" s="505">
        <f t="shared" si="3"/>
        <v>6720</v>
      </c>
      <c r="H16" s="170">
        <v>280</v>
      </c>
      <c r="I16" s="170">
        <f t="shared" si="1"/>
        <v>280</v>
      </c>
      <c r="J16" s="505">
        <f>SUM(G16:I16)</f>
        <v>7280</v>
      </c>
      <c r="K16" s="505"/>
      <c r="L16" s="505"/>
      <c r="M16" s="505"/>
      <c r="N16" s="505"/>
      <c r="O16" s="506">
        <f t="shared" si="5"/>
        <v>7280</v>
      </c>
    </row>
    <row r="17" spans="1:21" ht="26.25" customHeight="1">
      <c r="A17" s="64">
        <f t="shared" si="2"/>
        <v>8</v>
      </c>
      <c r="B17" s="171"/>
      <c r="C17" s="1939" t="s">
        <v>1099</v>
      </c>
      <c r="D17" s="836" t="s">
        <v>463</v>
      </c>
      <c r="E17" s="170">
        <v>280</v>
      </c>
      <c r="F17" s="505">
        <f t="shared" si="0"/>
        <v>560</v>
      </c>
      <c r="G17" s="505">
        <f t="shared" si="3"/>
        <v>6720</v>
      </c>
      <c r="H17" s="170">
        <v>280</v>
      </c>
      <c r="I17" s="170">
        <f t="shared" si="1"/>
        <v>280</v>
      </c>
      <c r="J17" s="505">
        <f t="shared" si="4"/>
        <v>7280</v>
      </c>
      <c r="K17" s="505"/>
      <c r="L17" s="505"/>
      <c r="M17" s="505"/>
      <c r="N17" s="505"/>
      <c r="O17" s="506">
        <f t="shared" si="5"/>
        <v>7280</v>
      </c>
    </row>
    <row r="18" spans="1:21" ht="26.25" customHeight="1">
      <c r="A18" s="64">
        <f t="shared" si="2"/>
        <v>9</v>
      </c>
      <c r="B18" s="171"/>
      <c r="C18" s="1939" t="s">
        <v>1099</v>
      </c>
      <c r="D18" s="836" t="s">
        <v>463</v>
      </c>
      <c r="E18" s="170">
        <v>280</v>
      </c>
      <c r="F18" s="505">
        <f t="shared" si="0"/>
        <v>560</v>
      </c>
      <c r="G18" s="505">
        <f t="shared" si="3"/>
        <v>6720</v>
      </c>
      <c r="H18" s="170">
        <v>280</v>
      </c>
      <c r="I18" s="170">
        <f t="shared" si="1"/>
        <v>280</v>
      </c>
      <c r="J18" s="505">
        <f t="shared" si="4"/>
        <v>7280</v>
      </c>
      <c r="K18" s="505"/>
      <c r="L18" s="505"/>
      <c r="M18" s="505"/>
      <c r="N18" s="505"/>
      <c r="O18" s="506">
        <f t="shared" si="5"/>
        <v>7280</v>
      </c>
      <c r="U18">
        <f>560/2</f>
        <v>280</v>
      </c>
    </row>
    <row r="19" spans="1:21" ht="26.25" customHeight="1">
      <c r="A19" s="64">
        <f t="shared" si="2"/>
        <v>10</v>
      </c>
      <c r="B19" s="171"/>
      <c r="C19" s="1939" t="s">
        <v>1099</v>
      </c>
      <c r="D19" s="836" t="s">
        <v>463</v>
      </c>
      <c r="E19" s="170">
        <v>280</v>
      </c>
      <c r="F19" s="505">
        <f t="shared" si="0"/>
        <v>560</v>
      </c>
      <c r="G19" s="505">
        <f t="shared" si="3"/>
        <v>6720</v>
      </c>
      <c r="H19" s="170">
        <v>280</v>
      </c>
      <c r="I19" s="170">
        <f t="shared" si="1"/>
        <v>280</v>
      </c>
      <c r="J19" s="505">
        <f t="shared" si="4"/>
        <v>7280</v>
      </c>
      <c r="K19" s="505"/>
      <c r="L19" s="505"/>
      <c r="M19" s="505"/>
      <c r="N19" s="505"/>
      <c r="O19" s="506">
        <f t="shared" si="5"/>
        <v>7280</v>
      </c>
      <c r="U19">
        <v>280</v>
      </c>
    </row>
    <row r="20" spans="1:21" ht="26.25" hidden="1" customHeight="1">
      <c r="A20" s="64">
        <f t="shared" si="2"/>
        <v>11</v>
      </c>
      <c r="B20" s="171"/>
      <c r="C20" s="172"/>
      <c r="D20" s="169"/>
      <c r="E20" s="170"/>
      <c r="F20" s="170"/>
      <c r="G20" s="170">
        <f>F20*13</f>
        <v>0</v>
      </c>
      <c r="H20" s="170"/>
      <c r="I20" s="170"/>
      <c r="J20" s="505">
        <f t="shared" si="4"/>
        <v>0</v>
      </c>
      <c r="K20" s="170">
        <f>F20*7.75%</f>
        <v>0</v>
      </c>
      <c r="L20" s="170">
        <f>F20*7.5%</f>
        <v>0</v>
      </c>
      <c r="M20" s="170">
        <f>+F20*0.01</f>
        <v>0</v>
      </c>
      <c r="N20" s="505">
        <f t="shared" ref="N20" si="6">K20+L20+M20</f>
        <v>0</v>
      </c>
      <c r="O20" s="506">
        <f t="shared" si="5"/>
        <v>0</v>
      </c>
    </row>
    <row r="21" spans="1:21" ht="26.25" customHeight="1">
      <c r="A21" s="511" t="s">
        <v>464</v>
      </c>
      <c r="B21" s="507"/>
      <c r="C21" s="508"/>
      <c r="D21" s="509"/>
      <c r="E21" s="510">
        <f t="shared" ref="E21:K21" si="7">SUM(E10:E20)</f>
        <v>3280</v>
      </c>
      <c r="F21" s="510">
        <f t="shared" si="7"/>
        <v>6560</v>
      </c>
      <c r="G21" s="510">
        <f t="shared" si="7"/>
        <v>78720</v>
      </c>
      <c r="H21" s="510">
        <f t="shared" si="7"/>
        <v>3280</v>
      </c>
      <c r="I21" s="510">
        <f t="shared" si="7"/>
        <v>3280</v>
      </c>
      <c r="J21" s="510">
        <f t="shared" si="7"/>
        <v>85280</v>
      </c>
      <c r="K21" s="510">
        <f t="shared" si="7"/>
        <v>0</v>
      </c>
      <c r="L21" s="510">
        <f>SUM(L10:L20)</f>
        <v>0</v>
      </c>
      <c r="M21" s="510">
        <f>SUM(M10:M20)</f>
        <v>0</v>
      </c>
      <c r="N21" s="510">
        <f>SUM(N10:N20)</f>
        <v>0</v>
      </c>
      <c r="O21" s="510">
        <f>SUM(O10:O20)</f>
        <v>85280</v>
      </c>
      <c r="P21" s="994"/>
    </row>
    <row r="22" spans="1:21" ht="15" customHeight="1">
      <c r="A22" s="1496" t="s">
        <v>465</v>
      </c>
      <c r="B22" s="1497"/>
      <c r="C22" s="1497"/>
      <c r="D22" s="1497"/>
      <c r="E22" s="268"/>
      <c r="F22" s="268"/>
      <c r="G22" s="268"/>
      <c r="H22" s="268"/>
      <c r="I22" s="268"/>
      <c r="J22" s="268"/>
      <c r="K22" s="268"/>
      <c r="L22" s="268"/>
      <c r="M22" s="268"/>
      <c r="N22" s="172"/>
    </row>
    <row r="23" spans="1:21" ht="15" customHeight="1">
      <c r="A23" s="30"/>
      <c r="B23" s="30"/>
      <c r="C23" s="30"/>
      <c r="D23" s="30"/>
      <c r="E23" s="30"/>
      <c r="F23" s="30"/>
      <c r="G23" s="30"/>
      <c r="H23" s="30"/>
      <c r="I23" s="30"/>
      <c r="J23" s="30"/>
      <c r="K23" s="30"/>
      <c r="L23" s="30"/>
      <c r="M23" s="30"/>
      <c r="N23" s="30"/>
    </row>
    <row r="24" spans="1:21" hidden="1">
      <c r="A24" s="30"/>
      <c r="B24" s="30"/>
      <c r="C24" s="30"/>
      <c r="D24" s="30"/>
      <c r="E24" s="30"/>
      <c r="F24" s="30"/>
      <c r="G24" s="30"/>
      <c r="H24" s="30"/>
      <c r="I24" s="30"/>
      <c r="J24" s="30"/>
      <c r="K24" s="30"/>
      <c r="L24" s="30"/>
      <c r="M24" s="30"/>
      <c r="N24" s="30"/>
    </row>
    <row r="25" spans="1:21" hidden="1">
      <c r="A25" s="30"/>
      <c r="B25" s="30"/>
      <c r="C25" s="30"/>
      <c r="D25" s="30"/>
      <c r="E25" s="30"/>
      <c r="F25" s="30"/>
      <c r="G25" s="30"/>
      <c r="H25" s="30"/>
      <c r="I25" s="30"/>
      <c r="J25" s="30"/>
      <c r="K25" s="30"/>
      <c r="L25" s="30"/>
      <c r="M25" s="30"/>
      <c r="N25" s="30"/>
    </row>
    <row r="26" spans="1:21" hidden="1">
      <c r="A26" s="30"/>
      <c r="B26" s="30"/>
      <c r="C26" s="30"/>
      <c r="D26" s="30"/>
      <c r="E26" s="30"/>
      <c r="F26" s="30"/>
      <c r="G26" s="30"/>
      <c r="H26" s="30"/>
      <c r="I26" s="30"/>
      <c r="J26" s="30"/>
      <c r="K26" s="30"/>
      <c r="L26" s="30"/>
      <c r="M26" s="30"/>
      <c r="N26" s="30"/>
    </row>
    <row r="27" spans="1:21" hidden="1">
      <c r="A27" s="30"/>
      <c r="B27" s="30"/>
      <c r="C27" s="30"/>
      <c r="D27" s="30"/>
      <c r="E27" s="30"/>
      <c r="F27" s="30"/>
      <c r="G27" s="30"/>
      <c r="H27" s="30"/>
      <c r="I27" s="30"/>
      <c r="J27" s="30"/>
      <c r="K27" s="30"/>
      <c r="L27" s="30"/>
      <c r="M27" s="30"/>
      <c r="N27" s="30"/>
    </row>
    <row r="28" spans="1:21">
      <c r="A28" s="437" t="s">
        <v>466</v>
      </c>
      <c r="B28" s="438"/>
      <c r="C28" s="438"/>
      <c r="D28" s="30"/>
      <c r="E28" s="30"/>
      <c r="F28" s="30"/>
      <c r="G28" s="30"/>
      <c r="H28" s="30"/>
      <c r="I28" s="30"/>
      <c r="J28" s="30"/>
      <c r="K28" s="30"/>
      <c r="L28" s="30"/>
      <c r="M28" s="30"/>
      <c r="N28" s="30"/>
    </row>
    <row r="29" spans="1:21">
      <c r="A29" s="845" t="s">
        <v>829</v>
      </c>
      <c r="B29" s="438"/>
      <c r="C29" s="438"/>
      <c r="D29" s="30"/>
      <c r="E29" s="30"/>
      <c r="F29" s="30"/>
      <c r="G29" s="30"/>
      <c r="H29" s="30"/>
      <c r="I29" s="30"/>
      <c r="J29" s="30"/>
      <c r="K29" s="30"/>
      <c r="L29" s="30"/>
      <c r="M29" s="30"/>
      <c r="N29" s="30"/>
    </row>
    <row r="30" spans="1:21" ht="10.5" customHeight="1">
      <c r="A30" s="30"/>
      <c r="B30" s="30"/>
      <c r="C30" s="30"/>
      <c r="D30" s="30"/>
      <c r="E30" s="30"/>
      <c r="F30" s="30"/>
      <c r="G30" s="30"/>
      <c r="H30" s="30"/>
      <c r="I30" s="30"/>
      <c r="J30" s="30"/>
      <c r="K30" s="30"/>
      <c r="L30" s="30"/>
      <c r="M30" s="30"/>
      <c r="N30" s="30"/>
    </row>
    <row r="31" spans="1:21" ht="12.75" customHeight="1">
      <c r="B31" s="1501" t="s">
        <v>239</v>
      </c>
      <c r="C31" s="1501" t="s">
        <v>301</v>
      </c>
      <c r="D31" s="1501"/>
      <c r="E31" s="1501"/>
      <c r="F31" s="1501" t="s">
        <v>467</v>
      </c>
      <c r="G31" s="1502" t="s">
        <v>468</v>
      </c>
      <c r="H31" s="1502" t="s">
        <v>469</v>
      </c>
      <c r="I31" s="1502" t="s">
        <v>623</v>
      </c>
      <c r="J31" s="1504" t="s">
        <v>830</v>
      </c>
      <c r="K31" s="1504" t="s">
        <v>659</v>
      </c>
      <c r="L31" s="1504" t="s">
        <v>939</v>
      </c>
      <c r="M31" s="1505" t="s">
        <v>165</v>
      </c>
    </row>
    <row r="32" spans="1:21" ht="43.5" customHeight="1">
      <c r="B32" s="1501"/>
      <c r="C32" s="1501"/>
      <c r="D32" s="1501"/>
      <c r="E32" s="1501"/>
      <c r="F32" s="1501"/>
      <c r="G32" s="1502"/>
      <c r="H32" s="1502"/>
      <c r="I32" s="1502"/>
      <c r="J32" s="1504"/>
      <c r="K32" s="1504"/>
      <c r="L32" s="1504"/>
      <c r="M32" s="1506"/>
    </row>
    <row r="33" spans="1:14" ht="25.5" customHeight="1">
      <c r="B33" s="455"/>
      <c r="C33" s="455" t="s">
        <v>470</v>
      </c>
      <c r="D33" s="1488" t="s">
        <v>940</v>
      </c>
      <c r="E33" s="1490"/>
      <c r="F33" s="455" t="s">
        <v>533</v>
      </c>
      <c r="G33" s="1493" t="s">
        <v>190</v>
      </c>
      <c r="H33" s="1494"/>
      <c r="I33" s="1494"/>
      <c r="J33" s="1494"/>
      <c r="K33" s="1494"/>
      <c r="L33" s="1494"/>
      <c r="M33" s="1495"/>
    </row>
    <row r="34" spans="1:14" ht="27" customHeight="1">
      <c r="B34" s="503">
        <v>1</v>
      </c>
      <c r="C34" s="503">
        <v>51202</v>
      </c>
      <c r="D34" s="1491" t="s">
        <v>831</v>
      </c>
      <c r="E34" s="1492"/>
      <c r="F34" s="512" t="s">
        <v>471</v>
      </c>
      <c r="G34" s="513">
        <f>12*31</f>
        <v>372</v>
      </c>
      <c r="H34" s="513">
        <f>12*31</f>
        <v>372</v>
      </c>
      <c r="I34" s="513">
        <f>12*31</f>
        <v>372</v>
      </c>
      <c r="J34" s="514"/>
      <c r="K34" s="513">
        <f>12*31</f>
        <v>372</v>
      </c>
      <c r="L34" s="993">
        <v>450</v>
      </c>
      <c r="M34" s="515">
        <f t="shared" ref="M34:M45" si="8">SUM(G34:K34)</f>
        <v>1488</v>
      </c>
    </row>
    <row r="35" spans="1:14" ht="24" customHeight="1">
      <c r="B35" s="64">
        <f>+B34+1</f>
        <v>2</v>
      </c>
      <c r="C35" s="64">
        <v>51202</v>
      </c>
      <c r="D35" s="1472" t="s">
        <v>793</v>
      </c>
      <c r="E35" s="1473"/>
      <c r="F35" s="990" t="s">
        <v>472</v>
      </c>
      <c r="G35" s="173">
        <f t="shared" ref="G35:I45" si="9">12*31</f>
        <v>372</v>
      </c>
      <c r="H35" s="173">
        <f t="shared" si="9"/>
        <v>372</v>
      </c>
      <c r="I35" s="173">
        <f t="shared" si="9"/>
        <v>372</v>
      </c>
      <c r="J35" s="514"/>
      <c r="K35" s="173">
        <f t="shared" ref="K35:K45" si="10">12*31</f>
        <v>372</v>
      </c>
      <c r="L35" s="993">
        <v>450</v>
      </c>
      <c r="M35" s="174">
        <f t="shared" si="8"/>
        <v>1488</v>
      </c>
    </row>
    <row r="36" spans="1:14" ht="24.75" customHeight="1">
      <c r="B36" s="64">
        <f t="shared" ref="B36:B45" si="11">+B35+1</f>
        <v>3</v>
      </c>
      <c r="C36" s="64">
        <v>51202</v>
      </c>
      <c r="D36" s="1472" t="s">
        <v>793</v>
      </c>
      <c r="E36" s="1473"/>
      <c r="F36" s="66" t="s">
        <v>473</v>
      </c>
      <c r="G36" s="173">
        <f t="shared" si="9"/>
        <v>372</v>
      </c>
      <c r="H36" s="173">
        <f t="shared" si="9"/>
        <v>372</v>
      </c>
      <c r="I36" s="173">
        <f t="shared" si="9"/>
        <v>372</v>
      </c>
      <c r="J36" s="514"/>
      <c r="K36" s="173">
        <f t="shared" si="10"/>
        <v>372</v>
      </c>
      <c r="L36" s="993">
        <v>450</v>
      </c>
      <c r="M36" s="174">
        <f t="shared" si="8"/>
        <v>1488</v>
      </c>
    </row>
    <row r="37" spans="1:14" ht="24" customHeight="1">
      <c r="B37" s="64">
        <f t="shared" si="11"/>
        <v>4</v>
      </c>
      <c r="C37" s="64">
        <v>51202</v>
      </c>
      <c r="D37" s="1472" t="s">
        <v>793</v>
      </c>
      <c r="E37" s="1473"/>
      <c r="F37" s="66" t="s">
        <v>474</v>
      </c>
      <c r="G37" s="173">
        <f t="shared" si="9"/>
        <v>372</v>
      </c>
      <c r="H37" s="173">
        <f t="shared" si="9"/>
        <v>372</v>
      </c>
      <c r="I37" s="173">
        <f t="shared" si="9"/>
        <v>372</v>
      </c>
      <c r="J37" s="514"/>
      <c r="K37" s="173">
        <f t="shared" si="10"/>
        <v>372</v>
      </c>
      <c r="L37" s="993">
        <v>450</v>
      </c>
      <c r="M37" s="174">
        <f t="shared" si="8"/>
        <v>1488</v>
      </c>
    </row>
    <row r="38" spans="1:14" ht="24.75" customHeight="1">
      <c r="B38" s="64">
        <f t="shared" si="11"/>
        <v>5</v>
      </c>
      <c r="C38" s="64">
        <v>51202</v>
      </c>
      <c r="D38" s="1472" t="s">
        <v>793</v>
      </c>
      <c r="E38" s="1473"/>
      <c r="F38" s="66" t="s">
        <v>475</v>
      </c>
      <c r="G38" s="173">
        <f t="shared" si="9"/>
        <v>372</v>
      </c>
      <c r="H38" s="173">
        <f t="shared" si="9"/>
        <v>372</v>
      </c>
      <c r="I38" s="173">
        <f t="shared" si="9"/>
        <v>372</v>
      </c>
      <c r="J38" s="514"/>
      <c r="K38" s="173">
        <f t="shared" si="10"/>
        <v>372</v>
      </c>
      <c r="L38" s="993">
        <v>450</v>
      </c>
      <c r="M38" s="174">
        <f t="shared" si="8"/>
        <v>1488</v>
      </c>
    </row>
    <row r="39" spans="1:14" ht="24" customHeight="1">
      <c r="B39" s="64">
        <f t="shared" si="11"/>
        <v>6</v>
      </c>
      <c r="C39" s="64">
        <v>51202</v>
      </c>
      <c r="D39" s="1472" t="s">
        <v>793</v>
      </c>
      <c r="E39" s="1473"/>
      <c r="F39" s="66" t="s">
        <v>476</v>
      </c>
      <c r="G39" s="173">
        <f t="shared" si="9"/>
        <v>372</v>
      </c>
      <c r="H39" s="173">
        <f t="shared" si="9"/>
        <v>372</v>
      </c>
      <c r="I39" s="173">
        <f t="shared" si="9"/>
        <v>372</v>
      </c>
      <c r="J39" s="514">
        <v>400</v>
      </c>
      <c r="K39" s="173">
        <f t="shared" si="10"/>
        <v>372</v>
      </c>
      <c r="L39" s="993">
        <v>450</v>
      </c>
      <c r="M39" s="174">
        <f t="shared" si="8"/>
        <v>1888</v>
      </c>
    </row>
    <row r="40" spans="1:14" ht="24" customHeight="1">
      <c r="B40" s="64">
        <f t="shared" si="11"/>
        <v>7</v>
      </c>
      <c r="C40" s="64">
        <v>51202</v>
      </c>
      <c r="D40" s="1472" t="s">
        <v>793</v>
      </c>
      <c r="E40" s="1473"/>
      <c r="F40" s="66" t="s">
        <v>477</v>
      </c>
      <c r="G40" s="173">
        <f t="shared" si="9"/>
        <v>372</v>
      </c>
      <c r="H40" s="173">
        <f t="shared" si="9"/>
        <v>372</v>
      </c>
      <c r="I40" s="173">
        <f t="shared" si="9"/>
        <v>372</v>
      </c>
      <c r="J40" s="514"/>
      <c r="K40" s="173">
        <f t="shared" si="10"/>
        <v>372</v>
      </c>
      <c r="L40" s="993">
        <v>450</v>
      </c>
      <c r="M40" s="174">
        <f t="shared" si="8"/>
        <v>1488</v>
      </c>
    </row>
    <row r="41" spans="1:14" ht="24.75" customHeight="1">
      <c r="B41" s="64">
        <f t="shared" si="11"/>
        <v>8</v>
      </c>
      <c r="C41" s="64">
        <v>51202</v>
      </c>
      <c r="D41" s="1472" t="s">
        <v>793</v>
      </c>
      <c r="E41" s="1473"/>
      <c r="F41" s="66" t="s">
        <v>478</v>
      </c>
      <c r="G41" s="173">
        <f t="shared" si="9"/>
        <v>372</v>
      </c>
      <c r="H41" s="173">
        <f t="shared" si="9"/>
        <v>372</v>
      </c>
      <c r="I41" s="173">
        <f t="shared" si="9"/>
        <v>372</v>
      </c>
      <c r="J41" s="514"/>
      <c r="K41" s="173">
        <f t="shared" si="10"/>
        <v>372</v>
      </c>
      <c r="L41" s="993">
        <v>450</v>
      </c>
      <c r="M41" s="174">
        <f t="shared" si="8"/>
        <v>1488</v>
      </c>
    </row>
    <row r="42" spans="1:14" ht="24" customHeight="1">
      <c r="B42" s="64">
        <f t="shared" si="11"/>
        <v>9</v>
      </c>
      <c r="C42" s="64">
        <v>51202</v>
      </c>
      <c r="D42" s="1472" t="s">
        <v>793</v>
      </c>
      <c r="E42" s="1473"/>
      <c r="F42" s="66" t="s">
        <v>479</v>
      </c>
      <c r="G42" s="173">
        <f t="shared" si="9"/>
        <v>372</v>
      </c>
      <c r="H42" s="173">
        <f t="shared" si="9"/>
        <v>372</v>
      </c>
      <c r="I42" s="173">
        <f t="shared" si="9"/>
        <v>372</v>
      </c>
      <c r="J42" s="514"/>
      <c r="K42" s="173">
        <f t="shared" si="10"/>
        <v>372</v>
      </c>
      <c r="L42" s="993">
        <v>450</v>
      </c>
      <c r="M42" s="174">
        <f t="shared" si="8"/>
        <v>1488</v>
      </c>
    </row>
    <row r="43" spans="1:14" ht="22.5" customHeight="1">
      <c r="B43" s="64">
        <f t="shared" si="11"/>
        <v>10</v>
      </c>
      <c r="C43" s="64">
        <v>51202</v>
      </c>
      <c r="D43" s="1472" t="s">
        <v>793</v>
      </c>
      <c r="E43" s="1473"/>
      <c r="F43" s="66" t="s">
        <v>480</v>
      </c>
      <c r="G43" s="173">
        <f t="shared" si="9"/>
        <v>372</v>
      </c>
      <c r="H43" s="173">
        <f t="shared" si="9"/>
        <v>372</v>
      </c>
      <c r="I43" s="173">
        <f t="shared" si="9"/>
        <v>372</v>
      </c>
      <c r="J43" s="514"/>
      <c r="K43" s="173">
        <f t="shared" si="10"/>
        <v>372</v>
      </c>
      <c r="L43" s="993">
        <v>450</v>
      </c>
      <c r="M43" s="174">
        <f t="shared" si="8"/>
        <v>1488</v>
      </c>
    </row>
    <row r="44" spans="1:14" ht="25.5" customHeight="1">
      <c r="B44" s="64">
        <f t="shared" si="11"/>
        <v>11</v>
      </c>
      <c r="C44" s="64">
        <v>51202</v>
      </c>
      <c r="D44" s="1472" t="s">
        <v>793</v>
      </c>
      <c r="E44" s="1473"/>
      <c r="F44" s="66" t="s">
        <v>481</v>
      </c>
      <c r="G44" s="173">
        <f t="shared" si="9"/>
        <v>372</v>
      </c>
      <c r="H44" s="173">
        <f t="shared" si="9"/>
        <v>372</v>
      </c>
      <c r="I44" s="173">
        <f t="shared" si="9"/>
        <v>372</v>
      </c>
      <c r="J44" s="514"/>
      <c r="K44" s="173">
        <f t="shared" si="10"/>
        <v>372</v>
      </c>
      <c r="L44" s="993">
        <v>450</v>
      </c>
      <c r="M44" s="174">
        <f t="shared" si="8"/>
        <v>1488</v>
      </c>
    </row>
    <row r="45" spans="1:14" ht="22.5" customHeight="1">
      <c r="B45" s="64">
        <f t="shared" si="11"/>
        <v>12</v>
      </c>
      <c r="C45" s="64">
        <v>51202</v>
      </c>
      <c r="D45" s="1472" t="s">
        <v>793</v>
      </c>
      <c r="E45" s="1473"/>
      <c r="F45" s="175" t="s">
        <v>482</v>
      </c>
      <c r="G45" s="173">
        <f t="shared" si="9"/>
        <v>372</v>
      </c>
      <c r="H45" s="173">
        <f t="shared" si="9"/>
        <v>372</v>
      </c>
      <c r="I45" s="173">
        <f t="shared" si="9"/>
        <v>372</v>
      </c>
      <c r="J45" s="514">
        <v>400</v>
      </c>
      <c r="K45" s="173">
        <f t="shared" si="10"/>
        <v>372</v>
      </c>
      <c r="L45" s="993">
        <v>450</v>
      </c>
      <c r="M45" s="174">
        <f t="shared" si="8"/>
        <v>1888</v>
      </c>
    </row>
    <row r="46" spans="1:14" ht="18.75" customHeight="1">
      <c r="B46" s="516"/>
      <c r="C46" s="1483" t="s">
        <v>165</v>
      </c>
      <c r="D46" s="1483"/>
      <c r="E46" s="1483"/>
      <c r="F46" s="1483"/>
      <c r="G46" s="517">
        <f t="shared" ref="G46:L46" si="12">SUM(G34:G45)</f>
        <v>4464</v>
      </c>
      <c r="H46" s="517">
        <f t="shared" si="12"/>
        <v>4464</v>
      </c>
      <c r="I46" s="517">
        <f t="shared" si="12"/>
        <v>4464</v>
      </c>
      <c r="J46" s="878">
        <f t="shared" si="12"/>
        <v>800</v>
      </c>
      <c r="K46" s="517">
        <f t="shared" si="12"/>
        <v>4464</v>
      </c>
      <c r="L46" s="517">
        <f t="shared" si="12"/>
        <v>5400</v>
      </c>
      <c r="M46" s="517">
        <f>SUM(G46:L46)</f>
        <v>24056</v>
      </c>
    </row>
    <row r="47" spans="1:14" ht="19.5" customHeight="1">
      <c r="A47" s="1484" t="s">
        <v>483</v>
      </c>
      <c r="B47" s="1484"/>
      <c r="C47" s="1484"/>
      <c r="D47" s="1484"/>
      <c r="E47" s="1484"/>
      <c r="F47" s="176">
        <v>6</v>
      </c>
      <c r="G47" s="176">
        <v>1</v>
      </c>
      <c r="H47" s="176">
        <v>1</v>
      </c>
      <c r="I47" s="176">
        <v>2</v>
      </c>
      <c r="J47" s="177">
        <v>1</v>
      </c>
      <c r="K47" s="177"/>
      <c r="L47" s="177"/>
    </row>
    <row r="48" spans="1:14" hidden="1">
      <c r="A48" s="66"/>
      <c r="B48" s="1447"/>
      <c r="C48" s="1448"/>
      <c r="D48" s="1448"/>
      <c r="E48" s="1448"/>
      <c r="F48" s="1448"/>
      <c r="G48" s="1448"/>
      <c r="H48" s="1448"/>
      <c r="I48" s="1448"/>
      <c r="J48" s="1448"/>
      <c r="K48" s="1448"/>
      <c r="L48" s="1448"/>
      <c r="M48" s="1448"/>
      <c r="N48" s="1449"/>
    </row>
    <row r="49" spans="1:14" hidden="1">
      <c r="A49" s="66"/>
      <c r="B49" s="1447"/>
      <c r="C49" s="1448"/>
      <c r="D49" s="1448"/>
      <c r="E49" s="1448"/>
      <c r="F49" s="1448"/>
      <c r="G49" s="1448"/>
      <c r="H49" s="1448"/>
      <c r="I49" s="1448"/>
      <c r="J49" s="1448"/>
      <c r="K49" s="1448"/>
      <c r="L49" s="1448"/>
      <c r="M49" s="1448"/>
      <c r="N49" s="1449"/>
    </row>
    <row r="50" spans="1:14" ht="8.25" customHeight="1">
      <c r="A50" s="66"/>
      <c r="B50" s="1447"/>
      <c r="C50" s="1448"/>
      <c r="D50" s="1448"/>
      <c r="E50" s="1448"/>
      <c r="F50" s="1448"/>
      <c r="G50" s="1448"/>
      <c r="H50" s="1448"/>
      <c r="I50" s="1448"/>
      <c r="J50" s="1448"/>
      <c r="K50" s="1448"/>
      <c r="L50" s="1448"/>
      <c r="M50" s="1448"/>
      <c r="N50" s="1449"/>
    </row>
    <row r="51" spans="1:14" ht="27.75" customHeight="1">
      <c r="A51" s="66"/>
      <c r="B51" s="1480" t="s">
        <v>938</v>
      </c>
      <c r="C51" s="1481"/>
      <c r="D51" s="1481"/>
      <c r="E51" s="1481"/>
      <c r="F51" s="1481"/>
      <c r="G51" s="1481"/>
      <c r="H51" s="1481"/>
      <c r="I51" s="1481"/>
      <c r="J51" s="1481"/>
      <c r="K51" s="1481"/>
      <c r="L51" s="1481"/>
      <c r="M51" s="1481"/>
      <c r="N51" s="1482"/>
    </row>
    <row r="52" spans="1:14" ht="7.5" hidden="1" customHeight="1">
      <c r="A52" s="66"/>
      <c r="B52" s="1450"/>
      <c r="C52" s="1451"/>
      <c r="D52" s="1451"/>
      <c r="E52" s="1451"/>
      <c r="F52" s="1451"/>
      <c r="G52" s="1451"/>
      <c r="H52" s="1451"/>
      <c r="I52" s="1451"/>
      <c r="J52" s="1451"/>
      <c r="K52" s="1451"/>
      <c r="L52" s="1451"/>
      <c r="M52" s="1451"/>
      <c r="N52" s="1452"/>
    </row>
    <row r="53" spans="1:14" ht="10.5" customHeight="1">
      <c r="A53" s="66"/>
      <c r="B53" s="1450"/>
      <c r="C53" s="1451"/>
      <c r="D53" s="1451"/>
      <c r="E53" s="1451"/>
      <c r="F53" s="1451"/>
      <c r="G53" s="1451"/>
      <c r="H53" s="1451"/>
      <c r="I53" s="1451"/>
      <c r="J53" s="1451"/>
      <c r="K53" s="1451"/>
      <c r="L53" s="1451"/>
      <c r="M53" s="1451"/>
      <c r="N53" s="1452"/>
    </row>
    <row r="54" spans="1:14" ht="16.5" customHeight="1">
      <c r="A54" s="66"/>
      <c r="B54" s="1477" t="s">
        <v>794</v>
      </c>
      <c r="C54" s="1478"/>
      <c r="D54" s="1478"/>
      <c r="E54" s="1478"/>
      <c r="F54" s="1478"/>
      <c r="G54" s="1478"/>
      <c r="H54" s="1478"/>
      <c r="I54" s="1478"/>
      <c r="J54" s="1478"/>
      <c r="K54" s="1478"/>
      <c r="L54" s="1478"/>
      <c r="M54" s="1478"/>
      <c r="N54" s="1479"/>
    </row>
    <row r="55" spans="1:14" ht="9" customHeight="1">
      <c r="A55" s="66"/>
      <c r="B55" s="1450"/>
      <c r="C55" s="1451"/>
      <c r="D55" s="1451"/>
      <c r="E55" s="1451"/>
      <c r="F55" s="1451"/>
      <c r="G55" s="1451"/>
      <c r="H55" s="1451"/>
      <c r="I55" s="1451"/>
      <c r="J55" s="1451"/>
      <c r="K55" s="1451"/>
      <c r="L55" s="1451"/>
      <c r="M55" s="1451"/>
      <c r="N55" s="1452"/>
    </row>
    <row r="56" spans="1:14" ht="16.5" customHeight="1">
      <c r="A56" s="66"/>
      <c r="B56" s="1477" t="s">
        <v>795</v>
      </c>
      <c r="C56" s="1478"/>
      <c r="D56" s="1478"/>
      <c r="E56" s="1478"/>
      <c r="F56" s="1478"/>
      <c r="G56" s="1478"/>
      <c r="H56" s="1478"/>
      <c r="I56" s="1478"/>
      <c r="J56" s="1478"/>
      <c r="K56" s="1478"/>
      <c r="L56" s="1478"/>
      <c r="M56" s="1478"/>
      <c r="N56" s="1479"/>
    </row>
    <row r="57" spans="1:14" ht="9" customHeight="1">
      <c r="A57" s="66"/>
      <c r="B57" s="1447"/>
      <c r="C57" s="1448"/>
      <c r="D57" s="1448"/>
      <c r="E57" s="1448"/>
      <c r="F57" s="1448"/>
      <c r="G57" s="1448"/>
      <c r="H57" s="1448"/>
      <c r="I57" s="1448"/>
      <c r="J57" s="1448"/>
      <c r="K57" s="1448"/>
      <c r="L57" s="1448"/>
      <c r="M57" s="1448"/>
      <c r="N57" s="1449"/>
    </row>
    <row r="58" spans="1:14" ht="16.5" customHeight="1">
      <c r="A58" s="1477" t="s">
        <v>465</v>
      </c>
      <c r="B58" s="1478"/>
      <c r="C58" s="1478"/>
      <c r="D58" s="1478"/>
      <c r="E58" s="1478"/>
      <c r="F58" s="1478"/>
      <c r="G58" s="1478"/>
      <c r="H58" s="1478"/>
      <c r="I58" s="1478"/>
      <c r="J58" s="1478"/>
      <c r="K58" s="1478"/>
      <c r="L58" s="1478"/>
      <c r="M58" s="1478"/>
      <c r="N58" s="1479"/>
    </row>
    <row r="59" spans="1:14" ht="16.5" customHeight="1">
      <c r="A59" s="287"/>
      <c r="B59" s="1455" t="s">
        <v>165</v>
      </c>
      <c r="C59" s="1456"/>
      <c r="D59" s="1456"/>
      <c r="E59" s="1456"/>
      <c r="F59" s="1456"/>
      <c r="G59" s="1456"/>
      <c r="H59" s="1456"/>
      <c r="I59" s="1456"/>
      <c r="J59" s="1456"/>
      <c r="K59" s="1456"/>
      <c r="L59" s="1456"/>
      <c r="M59" s="1457"/>
      <c r="N59" s="286">
        <f>+M46</f>
        <v>24056</v>
      </c>
    </row>
    <row r="60" spans="1:14" hidden="1">
      <c r="A60" s="30"/>
      <c r="B60" s="30"/>
      <c r="C60" s="30"/>
      <c r="D60" s="30"/>
      <c r="E60" s="30"/>
      <c r="F60" s="30"/>
      <c r="G60" s="30"/>
      <c r="H60" s="30"/>
      <c r="I60" s="30"/>
      <c r="J60" s="30"/>
      <c r="K60" s="30"/>
      <c r="L60" s="30"/>
      <c r="M60" s="30"/>
      <c r="N60" s="179"/>
    </row>
    <row r="61" spans="1:14" hidden="1">
      <c r="A61" s="30"/>
      <c r="B61" s="30"/>
      <c r="C61" s="30"/>
      <c r="D61" s="30"/>
      <c r="E61" s="30"/>
      <c r="F61" s="30"/>
      <c r="G61" s="30"/>
      <c r="H61" s="30"/>
      <c r="I61" s="30"/>
      <c r="J61" s="30"/>
      <c r="K61" s="30"/>
      <c r="L61" s="30"/>
      <c r="M61" s="30"/>
      <c r="N61" s="179"/>
    </row>
    <row r="62" spans="1:14" hidden="1">
      <c r="A62" s="30"/>
      <c r="B62" s="30"/>
      <c r="C62" s="30"/>
      <c r="D62" s="30"/>
      <c r="E62" s="30"/>
      <c r="F62" s="30"/>
      <c r="G62" s="30"/>
      <c r="H62" s="30"/>
      <c r="I62" s="30"/>
      <c r="J62" s="30"/>
      <c r="K62" s="30"/>
      <c r="L62" s="30"/>
      <c r="M62" s="30"/>
      <c r="N62" s="179"/>
    </row>
    <row r="63" spans="1:14" ht="20.25" customHeight="1">
      <c r="A63" s="1458" t="s">
        <v>78</v>
      </c>
      <c r="B63" s="1459"/>
      <c r="C63" s="1459"/>
      <c r="D63" s="1459"/>
      <c r="E63" s="1459"/>
      <c r="F63" s="1459"/>
      <c r="G63" s="1459"/>
      <c r="H63" s="1459"/>
      <c r="I63" s="1459"/>
      <c r="J63" s="1459"/>
      <c r="K63" s="1459"/>
      <c r="L63" s="1459"/>
      <c r="M63" s="1459"/>
      <c r="N63" s="1460"/>
    </row>
    <row r="64" spans="1:14" ht="20.25" customHeight="1">
      <c r="A64" s="1458" t="s">
        <v>79</v>
      </c>
      <c r="B64" s="1459"/>
      <c r="C64" s="1459"/>
      <c r="D64" s="1459"/>
      <c r="E64" s="1459"/>
      <c r="F64" s="1459"/>
      <c r="G64" s="1459"/>
      <c r="H64" s="1459"/>
      <c r="I64" s="1459"/>
      <c r="J64" s="1459"/>
      <c r="K64" s="1459"/>
      <c r="L64" s="1459"/>
      <c r="M64" s="1459"/>
      <c r="N64" s="1460"/>
    </row>
    <row r="65" spans="1:14" ht="20.25" customHeight="1">
      <c r="A65" s="1458" t="s">
        <v>484</v>
      </c>
      <c r="B65" s="1459"/>
      <c r="C65" s="1459"/>
      <c r="D65" s="1459"/>
      <c r="E65" s="1459"/>
      <c r="F65" s="1459"/>
      <c r="G65" s="1459"/>
      <c r="H65" s="1459"/>
      <c r="I65" s="1459"/>
      <c r="J65" s="1459"/>
      <c r="K65" s="1459"/>
      <c r="L65" s="1459"/>
      <c r="M65" s="1459"/>
      <c r="N65" s="1460"/>
    </row>
    <row r="66" spans="1:14" ht="20.25" customHeight="1">
      <c r="A66" s="1474" t="s">
        <v>1074</v>
      </c>
      <c r="B66" s="1475"/>
      <c r="C66" s="1475"/>
      <c r="D66" s="1475"/>
      <c r="E66" s="1475"/>
      <c r="F66" s="1475"/>
      <c r="G66" s="1475"/>
      <c r="H66" s="1475"/>
      <c r="I66" s="1475"/>
      <c r="J66" s="1475"/>
      <c r="K66" s="1475"/>
      <c r="L66" s="1475"/>
      <c r="M66" s="1475"/>
      <c r="N66" s="1476"/>
    </row>
    <row r="67" spans="1:14" ht="16.5" customHeight="1">
      <c r="A67" s="1458" t="s">
        <v>527</v>
      </c>
      <c r="B67" s="1459"/>
      <c r="C67" s="1459"/>
      <c r="D67" s="1459"/>
      <c r="E67" s="1459"/>
      <c r="F67" s="1459"/>
      <c r="G67" s="1459"/>
      <c r="H67" s="1459"/>
      <c r="I67" s="1459"/>
      <c r="J67" s="1459"/>
      <c r="K67" s="1459"/>
      <c r="L67" s="1459"/>
      <c r="M67" s="1459"/>
      <c r="N67" s="1460"/>
    </row>
    <row r="68" spans="1:14" ht="12.75" hidden="1" customHeight="1">
      <c r="A68" s="178"/>
      <c r="B68" s="30"/>
      <c r="C68" s="30"/>
      <c r="D68" s="30"/>
      <c r="E68" s="30"/>
      <c r="F68" s="30"/>
      <c r="G68" s="30"/>
      <c r="H68" s="30"/>
      <c r="I68" s="30"/>
      <c r="J68" s="30"/>
      <c r="K68" s="30"/>
      <c r="L68" s="30"/>
      <c r="M68" s="30"/>
      <c r="N68" s="179"/>
    </row>
    <row r="69" spans="1:14" ht="12.75" hidden="1" customHeight="1">
      <c r="A69" s="178"/>
      <c r="B69" s="30"/>
      <c r="C69" s="30"/>
      <c r="D69" s="30"/>
      <c r="E69" s="30"/>
      <c r="F69" s="30"/>
      <c r="G69" s="30"/>
      <c r="H69" s="30"/>
      <c r="I69" s="30"/>
      <c r="J69" s="30"/>
      <c r="K69" s="30"/>
      <c r="L69" s="30"/>
      <c r="M69" s="30"/>
      <c r="N69" s="179"/>
    </row>
    <row r="70" spans="1:14" ht="15.75" hidden="1">
      <c r="A70" s="180"/>
      <c r="B70" s="181"/>
      <c r="C70" s="181"/>
      <c r="D70" s="181"/>
      <c r="E70" s="181"/>
      <c r="F70" s="181"/>
      <c r="G70" s="181"/>
      <c r="H70" s="181"/>
      <c r="I70" s="181"/>
      <c r="J70" s="181"/>
      <c r="K70" s="182"/>
      <c r="L70" s="181"/>
      <c r="M70" s="181"/>
      <c r="N70" s="67"/>
    </row>
    <row r="71" spans="1:14" ht="15.75">
      <c r="A71" s="183"/>
      <c r="B71" s="12"/>
      <c r="C71" s="30"/>
      <c r="D71" s="30"/>
      <c r="E71" s="30"/>
      <c r="F71" s="30"/>
      <c r="G71" s="30"/>
      <c r="H71" s="30"/>
      <c r="I71" s="30"/>
      <c r="J71" s="30"/>
      <c r="K71" s="1464" t="s">
        <v>485</v>
      </c>
      <c r="L71" s="1465"/>
      <c r="M71" s="30"/>
      <c r="N71" s="179"/>
    </row>
    <row r="72" spans="1:14" s="642" customFormat="1" ht="24.75" customHeight="1">
      <c r="A72" s="1273"/>
      <c r="B72" s="1274">
        <v>54101</v>
      </c>
      <c r="C72" s="1275" t="s">
        <v>593</v>
      </c>
      <c r="D72" s="1275"/>
      <c r="E72" s="1470" t="s">
        <v>486</v>
      </c>
      <c r="F72" s="1470"/>
      <c r="G72" s="1274"/>
      <c r="H72" s="1274"/>
      <c r="I72" s="1274"/>
      <c r="J72" s="1274"/>
      <c r="K72" s="1466">
        <v>4000</v>
      </c>
      <c r="L72" s="1467"/>
      <c r="M72" s="1274"/>
      <c r="N72" s="1271"/>
    </row>
    <row r="73" spans="1:14" ht="15">
      <c r="A73" s="1276"/>
      <c r="B73" s="44"/>
      <c r="C73" s="1277"/>
      <c r="D73" s="1277"/>
      <c r="E73" s="1471" t="s">
        <v>487</v>
      </c>
      <c r="F73" s="1471"/>
      <c r="G73" s="44"/>
      <c r="H73" s="44"/>
      <c r="I73" s="44"/>
      <c r="J73" s="44"/>
      <c r="K73" s="1468">
        <v>1000</v>
      </c>
      <c r="L73" s="1469"/>
      <c r="M73" s="44"/>
      <c r="N73" s="179"/>
    </row>
    <row r="74" spans="1:14" ht="15.75" thickBot="1">
      <c r="A74" s="1276"/>
      <c r="B74" s="44"/>
      <c r="C74" s="44"/>
      <c r="D74" s="44"/>
      <c r="E74" s="44"/>
      <c r="F74" s="44"/>
      <c r="G74" s="44"/>
      <c r="H74" s="44"/>
      <c r="I74" s="44"/>
      <c r="J74" s="44"/>
      <c r="K74" s="1453">
        <f>SUM(K72:L73)</f>
        <v>5000</v>
      </c>
      <c r="L74" s="1454"/>
      <c r="M74" s="44"/>
      <c r="N74" s="179"/>
    </row>
    <row r="75" spans="1:14" ht="15" thickTop="1">
      <c r="A75" s="1461"/>
      <c r="B75" s="1462"/>
      <c r="C75" s="1463"/>
      <c r="D75" s="1463"/>
      <c r="E75" s="1463"/>
      <c r="F75" s="1278"/>
      <c r="G75" s="1278"/>
      <c r="H75" s="1278"/>
      <c r="I75" s="1278"/>
      <c r="J75" s="1278"/>
      <c r="K75" s="1279"/>
      <c r="L75" s="1278"/>
      <c r="M75" s="1278"/>
      <c r="N75" s="184"/>
    </row>
    <row r="78" spans="1:14">
      <c r="A78" s="203" t="s">
        <v>902</v>
      </c>
    </row>
  </sheetData>
  <mergeCells count="65">
    <mergeCell ref="N8:O8"/>
    <mergeCell ref="B31:B32"/>
    <mergeCell ref="C31:E32"/>
    <mergeCell ref="F31:F32"/>
    <mergeCell ref="G31:G32"/>
    <mergeCell ref="B8:B9"/>
    <mergeCell ref="C8:C9"/>
    <mergeCell ref="D8:D9"/>
    <mergeCell ref="K31:K32"/>
    <mergeCell ref="L31:L32"/>
    <mergeCell ref="H31:H32"/>
    <mergeCell ref="I31:I32"/>
    <mergeCell ref="J31:J32"/>
    <mergeCell ref="M31:M32"/>
    <mergeCell ref="D40:E40"/>
    <mergeCell ref="D41:E41"/>
    <mergeCell ref="D42:E42"/>
    <mergeCell ref="E8:J8"/>
    <mergeCell ref="K8:M8"/>
    <mergeCell ref="D37:E37"/>
    <mergeCell ref="D38:E38"/>
    <mergeCell ref="D34:E34"/>
    <mergeCell ref="D35:E35"/>
    <mergeCell ref="D36:E36"/>
    <mergeCell ref="D33:E33"/>
    <mergeCell ref="G33:M33"/>
    <mergeCell ref="D39:E39"/>
    <mergeCell ref="A22:D22"/>
    <mergeCell ref="A8:A9"/>
    <mergeCell ref="D43:E43"/>
    <mergeCell ref="D44:E44"/>
    <mergeCell ref="D45:E45"/>
    <mergeCell ref="A66:N66"/>
    <mergeCell ref="A65:N65"/>
    <mergeCell ref="A64:N64"/>
    <mergeCell ref="A63:N63"/>
    <mergeCell ref="A58:N58"/>
    <mergeCell ref="B57:N57"/>
    <mergeCell ref="B56:N56"/>
    <mergeCell ref="B54:N54"/>
    <mergeCell ref="B51:N51"/>
    <mergeCell ref="B49:N49"/>
    <mergeCell ref="C46:F46"/>
    <mergeCell ref="A47:E47"/>
    <mergeCell ref="B48:N48"/>
    <mergeCell ref="A75:B75"/>
    <mergeCell ref="C75:E75"/>
    <mergeCell ref="K71:L71"/>
    <mergeCell ref="K72:L72"/>
    <mergeCell ref="K73:L73"/>
    <mergeCell ref="E72:F72"/>
    <mergeCell ref="E73:F73"/>
    <mergeCell ref="B50:N50"/>
    <mergeCell ref="B52:N52"/>
    <mergeCell ref="B53:N53"/>
    <mergeCell ref="B55:N55"/>
    <mergeCell ref="K74:L74"/>
    <mergeCell ref="B59:M59"/>
    <mergeCell ref="A67:N67"/>
    <mergeCell ref="A6:O6"/>
    <mergeCell ref="A7:O7"/>
    <mergeCell ref="A1:O1"/>
    <mergeCell ref="A2:O2"/>
    <mergeCell ref="A3:O3"/>
    <mergeCell ref="A4:O4"/>
  </mergeCells>
  <pageMargins left="0.78740157480314965" right="0.11811023622047245" top="0.78740157480314965" bottom="0.27559055118110237" header="0.27559055118110237" footer="0.19685039370078741"/>
  <pageSetup scale="70" orientation="landscape" horizontalDpi="0"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2:J155"/>
  <sheetViews>
    <sheetView topLeftCell="A30" zoomScale="130" zoomScaleNormal="130" workbookViewId="0">
      <selection activeCell="D11" sqref="D11"/>
    </sheetView>
  </sheetViews>
  <sheetFormatPr baseColWidth="10" defaultRowHeight="12.75"/>
  <cols>
    <col min="1" max="1" width="3.85546875" customWidth="1"/>
    <col min="2" max="2" width="5.140625" customWidth="1"/>
    <col min="3" max="3" width="5.28515625" customWidth="1"/>
    <col min="4" max="4" width="4.7109375" customWidth="1"/>
    <col min="5" max="5" width="7.140625" customWidth="1"/>
    <col min="6" max="6" width="9.42578125" style="30" customWidth="1"/>
    <col min="7" max="7" width="42.7109375" style="40" customWidth="1"/>
    <col min="8" max="8" width="15.42578125" style="30" customWidth="1"/>
    <col min="9" max="9" width="14.42578125" customWidth="1"/>
    <col min="10" max="10" width="12.28515625" bestFit="1" customWidth="1"/>
  </cols>
  <sheetData>
    <row r="2" spans="1:10" ht="18">
      <c r="A2" s="1517" t="s">
        <v>79</v>
      </c>
      <c r="B2" s="1517"/>
      <c r="C2" s="1517"/>
      <c r="D2" s="1517"/>
      <c r="E2" s="1517"/>
      <c r="F2" s="1517"/>
      <c r="G2" s="1517"/>
      <c r="H2" s="1517"/>
      <c r="J2" s="5"/>
    </row>
    <row r="3" spans="1:10" ht="18">
      <c r="A3" s="1517" t="s">
        <v>78</v>
      </c>
      <c r="B3" s="1517"/>
      <c r="C3" s="1517"/>
      <c r="D3" s="1517"/>
      <c r="E3" s="1517"/>
      <c r="F3" s="1517"/>
      <c r="G3" s="1517"/>
      <c r="H3" s="1517"/>
      <c r="J3" s="5"/>
    </row>
    <row r="4" spans="1:10" ht="18">
      <c r="A4" s="1518" t="s">
        <v>1039</v>
      </c>
      <c r="B4" s="1518"/>
      <c r="C4" s="1518"/>
      <c r="D4" s="1518"/>
      <c r="E4" s="1518"/>
      <c r="F4" s="1518"/>
      <c r="G4" s="1518"/>
      <c r="H4" s="1518"/>
      <c r="J4" s="5"/>
    </row>
    <row r="5" spans="1:10" ht="18.75">
      <c r="A5" s="1519" t="s">
        <v>790</v>
      </c>
      <c r="B5" s="1519"/>
      <c r="C5" s="1519"/>
      <c r="D5" s="1519"/>
      <c r="E5" s="1519"/>
      <c r="F5" s="1519"/>
      <c r="G5" s="1519"/>
      <c r="H5" s="1519"/>
      <c r="J5" s="5"/>
    </row>
    <row r="6" spans="1:10" ht="11.25" customHeight="1">
      <c r="A6" s="1520"/>
      <c r="B6" s="1521"/>
      <c r="C6" s="1521"/>
      <c r="D6" s="1521"/>
      <c r="E6" s="1521"/>
      <c r="F6" s="1521"/>
      <c r="G6" s="1521"/>
      <c r="H6" s="1521"/>
    </row>
    <row r="7" spans="1:10" ht="18.75">
      <c r="A7" s="1516" t="s">
        <v>23</v>
      </c>
      <c r="B7" s="1516"/>
      <c r="C7" s="1516"/>
      <c r="D7" s="1516"/>
      <c r="E7" s="1516"/>
      <c r="F7" s="1516"/>
      <c r="G7" s="1516"/>
      <c r="H7" s="1516"/>
    </row>
    <row r="8" spans="1:10" ht="18.75">
      <c r="A8" s="1509" t="s">
        <v>798</v>
      </c>
      <c r="B8" s="1510"/>
      <c r="C8" s="1510"/>
      <c r="D8" s="1510"/>
      <c r="E8" s="1510"/>
      <c r="F8" s="1510"/>
      <c r="G8" s="1510"/>
      <c r="H8" s="1510"/>
    </row>
    <row r="9" spans="1:10" ht="15">
      <c r="A9" s="1511" t="s">
        <v>8</v>
      </c>
      <c r="B9" s="1511"/>
      <c r="C9" s="1511"/>
      <c r="D9" s="1511"/>
      <c r="E9" s="1511"/>
      <c r="F9" s="1511"/>
      <c r="G9" s="1512" t="s">
        <v>20</v>
      </c>
      <c r="H9" s="1514" t="s">
        <v>27</v>
      </c>
    </row>
    <row r="10" spans="1:10" ht="54" customHeight="1">
      <c r="A10" s="783" t="s">
        <v>796</v>
      </c>
      <c r="B10" s="784" t="s">
        <v>179</v>
      </c>
      <c r="C10" s="785" t="s">
        <v>797</v>
      </c>
      <c r="D10" s="783" t="s">
        <v>21</v>
      </c>
      <c r="E10" s="785" t="s">
        <v>18</v>
      </c>
      <c r="F10" s="785" t="s">
        <v>19</v>
      </c>
      <c r="G10" s="1513"/>
      <c r="H10" s="1515"/>
    </row>
    <row r="11" spans="1:10" ht="15">
      <c r="A11" s="2">
        <v>1</v>
      </c>
      <c r="B11" s="2" t="s">
        <v>33</v>
      </c>
      <c r="C11" s="2" t="s">
        <v>33</v>
      </c>
      <c r="D11" s="2" t="s">
        <v>34</v>
      </c>
      <c r="E11" s="2" t="s">
        <v>39</v>
      </c>
      <c r="F11" s="49" t="s">
        <v>31</v>
      </c>
      <c r="G11" s="786" t="s">
        <v>80</v>
      </c>
      <c r="H11" s="787">
        <f>'Proy. de recur.Humanos'!G34*2+'Proy. de recur.Humanos'!H59</f>
        <v>85859.5</v>
      </c>
      <c r="I11">
        <v>78161</v>
      </c>
    </row>
    <row r="12" spans="1:10" ht="15">
      <c r="A12" s="2">
        <v>1</v>
      </c>
      <c r="B12" s="2" t="s">
        <v>33</v>
      </c>
      <c r="C12" s="2" t="s">
        <v>33</v>
      </c>
      <c r="D12" s="2" t="s">
        <v>34</v>
      </c>
      <c r="E12" s="2" t="s">
        <v>39</v>
      </c>
      <c r="F12" s="49" t="s">
        <v>83</v>
      </c>
      <c r="G12" s="786" t="s">
        <v>84</v>
      </c>
      <c r="H12" s="787">
        <f>'Proy. de recur.Humanos'!H61</f>
        <v>91840</v>
      </c>
      <c r="I12">
        <v>85280</v>
      </c>
    </row>
    <row r="13" spans="1:10" ht="15">
      <c r="A13" s="2" t="s">
        <v>36</v>
      </c>
      <c r="B13" s="2" t="s">
        <v>33</v>
      </c>
      <c r="C13" s="2" t="s">
        <v>33</v>
      </c>
      <c r="D13" s="2" t="s">
        <v>34</v>
      </c>
      <c r="E13" s="2" t="s">
        <v>39</v>
      </c>
      <c r="F13" s="222" t="s">
        <v>86</v>
      </c>
      <c r="G13" s="786" t="s">
        <v>616</v>
      </c>
      <c r="H13" s="787">
        <f>'Proy. de recur.Humanos'!J59</f>
        <v>3470</v>
      </c>
      <c r="I13">
        <v>2659</v>
      </c>
    </row>
    <row r="14" spans="1:10" ht="15">
      <c r="A14" s="2" t="s">
        <v>36</v>
      </c>
      <c r="B14" s="2" t="s">
        <v>33</v>
      </c>
      <c r="C14" s="2" t="s">
        <v>33</v>
      </c>
      <c r="D14" s="2" t="s">
        <v>34</v>
      </c>
      <c r="E14" s="2" t="s">
        <v>39</v>
      </c>
      <c r="F14" s="49" t="s">
        <v>169</v>
      </c>
      <c r="G14" s="786" t="s">
        <v>170</v>
      </c>
      <c r="H14" s="787">
        <f>'Proy. de recur.Humanos'!I59+'Proy. de recur.Humanos'!I34</f>
        <v>16199.75</v>
      </c>
      <c r="I14">
        <v>25785.5</v>
      </c>
    </row>
    <row r="15" spans="1:10" ht="15">
      <c r="A15" s="2">
        <v>1</v>
      </c>
      <c r="B15" s="2" t="s">
        <v>33</v>
      </c>
      <c r="C15" s="2" t="s">
        <v>33</v>
      </c>
      <c r="D15" s="2" t="s">
        <v>34</v>
      </c>
      <c r="E15" s="2" t="s">
        <v>39</v>
      </c>
      <c r="F15" s="49" t="s">
        <v>89</v>
      </c>
      <c r="G15" s="786" t="s">
        <v>90</v>
      </c>
      <c r="H15" s="787">
        <f>'Proy. de recur.Humanos'!M61+'Proy. de recur.Humanos'!M59+'Proy. de recur.Humanos'!O59+'Proy. de recur.Humanos'!O61+('Proy. de recur.Humanos'!M34/12*2)+('Proy. de recur.Humanos'!N34/12*2)+('Proy. de recur.Humanos'!O34/12*2)</f>
        <v>14127.807500000001</v>
      </c>
      <c r="I15">
        <v>12981.43</v>
      </c>
    </row>
    <row r="16" spans="1:10" ht="15">
      <c r="A16" s="2">
        <v>1</v>
      </c>
      <c r="B16" s="2" t="s">
        <v>33</v>
      </c>
      <c r="C16" s="2" t="s">
        <v>33</v>
      </c>
      <c r="D16" s="2" t="s">
        <v>34</v>
      </c>
      <c r="E16" s="2" t="s">
        <v>39</v>
      </c>
      <c r="F16" s="49" t="s">
        <v>91</v>
      </c>
      <c r="G16" s="786" t="s">
        <v>92</v>
      </c>
      <c r="H16" s="787">
        <f>'Proy. de recur.Humanos'!K61+'Proy. de recur.Humanos'!K59+('Proy. de recur.Humanos'!K34/12*2)</f>
        <v>13616.71125</v>
      </c>
      <c r="I16">
        <v>12648.08</v>
      </c>
    </row>
    <row r="17" spans="1:9" ht="15">
      <c r="A17" s="2">
        <v>1</v>
      </c>
      <c r="B17" s="2" t="s">
        <v>33</v>
      </c>
      <c r="C17" s="2" t="s">
        <v>33</v>
      </c>
      <c r="D17" s="2" t="s">
        <v>34</v>
      </c>
      <c r="E17" s="2" t="s">
        <v>39</v>
      </c>
      <c r="F17" s="64">
        <v>54101</v>
      </c>
      <c r="G17" s="760" t="s">
        <v>127</v>
      </c>
      <c r="H17" s="787">
        <v>5000</v>
      </c>
      <c r="I17">
        <v>2000</v>
      </c>
    </row>
    <row r="18" spans="1:9" ht="15" hidden="1">
      <c r="A18" s="2" t="s">
        <v>36</v>
      </c>
      <c r="B18" s="2" t="s">
        <v>33</v>
      </c>
      <c r="C18" s="2" t="s">
        <v>33</v>
      </c>
      <c r="D18" s="2" t="s">
        <v>34</v>
      </c>
      <c r="E18" s="2" t="s">
        <v>39</v>
      </c>
      <c r="F18" s="64">
        <v>54110</v>
      </c>
      <c r="G18" s="760" t="s">
        <v>548</v>
      </c>
      <c r="H18" s="787"/>
    </row>
    <row r="19" spans="1:9" ht="15">
      <c r="A19" s="2">
        <v>1</v>
      </c>
      <c r="B19" s="2" t="s">
        <v>33</v>
      </c>
      <c r="C19" s="2" t="s">
        <v>33</v>
      </c>
      <c r="D19" s="2" t="s">
        <v>34</v>
      </c>
      <c r="E19" s="2" t="s">
        <v>39</v>
      </c>
      <c r="F19" s="64">
        <v>54199</v>
      </c>
      <c r="G19" s="760" t="s">
        <v>143</v>
      </c>
      <c r="H19" s="787">
        <v>3000</v>
      </c>
      <c r="I19">
        <v>1000</v>
      </c>
    </row>
    <row r="20" spans="1:9" ht="15">
      <c r="A20" s="2" t="s">
        <v>36</v>
      </c>
      <c r="B20" s="2" t="s">
        <v>33</v>
      </c>
      <c r="C20" s="2" t="s">
        <v>33</v>
      </c>
      <c r="D20" s="2" t="s">
        <v>34</v>
      </c>
      <c r="E20" s="2" t="s">
        <v>39</v>
      </c>
      <c r="F20" s="64">
        <v>54201</v>
      </c>
      <c r="G20" s="760" t="s">
        <v>632</v>
      </c>
      <c r="H20" s="787">
        <v>4000</v>
      </c>
      <c r="I20">
        <f>2.29*6</f>
        <v>13.74</v>
      </c>
    </row>
    <row r="21" spans="1:9" ht="15">
      <c r="A21" s="2" t="s">
        <v>36</v>
      </c>
      <c r="B21" s="2" t="s">
        <v>33</v>
      </c>
      <c r="C21" s="2" t="s">
        <v>33</v>
      </c>
      <c r="D21" s="2" t="s">
        <v>34</v>
      </c>
      <c r="E21" s="2" t="s">
        <v>39</v>
      </c>
      <c r="F21" s="64">
        <v>54202</v>
      </c>
      <c r="G21" s="760" t="s">
        <v>145</v>
      </c>
      <c r="H21" s="787">
        <v>300</v>
      </c>
    </row>
    <row r="22" spans="1:9" ht="15">
      <c r="A22" s="2" t="s">
        <v>36</v>
      </c>
      <c r="B22" s="2" t="s">
        <v>33</v>
      </c>
      <c r="C22" s="2" t="s">
        <v>33</v>
      </c>
      <c r="D22" s="2" t="s">
        <v>34</v>
      </c>
      <c r="E22" s="2" t="s">
        <v>39</v>
      </c>
      <c r="F22" s="64">
        <v>54203</v>
      </c>
      <c r="G22" s="760" t="s">
        <v>651</v>
      </c>
      <c r="H22" s="787">
        <f>22.5*12</f>
        <v>270</v>
      </c>
    </row>
    <row r="23" spans="1:9" ht="15">
      <c r="A23" s="2">
        <v>1</v>
      </c>
      <c r="B23" s="2" t="s">
        <v>33</v>
      </c>
      <c r="C23" s="2" t="s">
        <v>33</v>
      </c>
      <c r="D23" s="2" t="s">
        <v>34</v>
      </c>
      <c r="E23" s="2" t="s">
        <v>39</v>
      </c>
      <c r="F23" s="64">
        <v>54301</v>
      </c>
      <c r="G23" s="760" t="s">
        <v>149</v>
      </c>
      <c r="H23" s="787">
        <v>4000</v>
      </c>
      <c r="I23">
        <v>300</v>
      </c>
    </row>
    <row r="24" spans="1:9" ht="15" hidden="1">
      <c r="A24" s="2">
        <f t="shared" ref="A24:A32" si="0">A23</f>
        <v>1</v>
      </c>
      <c r="B24" s="2" t="s">
        <v>33</v>
      </c>
      <c r="C24" s="2" t="s">
        <v>33</v>
      </c>
      <c r="D24" s="2" t="s">
        <v>34</v>
      </c>
      <c r="E24" s="2" t="s">
        <v>39</v>
      </c>
      <c r="F24" s="64">
        <v>54302</v>
      </c>
      <c r="G24" s="760" t="s">
        <v>150</v>
      </c>
      <c r="H24" s="787"/>
    </row>
    <row r="25" spans="1:9" ht="15">
      <c r="A25" s="2">
        <f t="shared" si="0"/>
        <v>1</v>
      </c>
      <c r="B25" s="2" t="s">
        <v>33</v>
      </c>
      <c r="C25" s="2" t="s">
        <v>33</v>
      </c>
      <c r="D25" s="2" t="s">
        <v>34</v>
      </c>
      <c r="E25" s="2" t="s">
        <v>39</v>
      </c>
      <c r="F25" s="64">
        <v>54304</v>
      </c>
      <c r="G25" s="760" t="s">
        <v>160</v>
      </c>
      <c r="H25" s="787">
        <v>5600</v>
      </c>
      <c r="I25">
        <v>1000</v>
      </c>
    </row>
    <row r="26" spans="1:9" ht="15">
      <c r="A26" s="2">
        <f t="shared" si="0"/>
        <v>1</v>
      </c>
      <c r="B26" s="2" t="s">
        <v>33</v>
      </c>
      <c r="C26" s="2" t="s">
        <v>33</v>
      </c>
      <c r="D26" s="2" t="s">
        <v>34</v>
      </c>
      <c r="E26" s="2" t="s">
        <v>39</v>
      </c>
      <c r="F26" s="64">
        <v>54314</v>
      </c>
      <c r="G26" s="760" t="s">
        <v>155</v>
      </c>
      <c r="H26" s="788">
        <v>500</v>
      </c>
      <c r="I26">
        <v>1000</v>
      </c>
    </row>
    <row r="27" spans="1:9" ht="15" hidden="1">
      <c r="A27" s="2">
        <f t="shared" si="0"/>
        <v>1</v>
      </c>
      <c r="B27" s="2" t="s">
        <v>33</v>
      </c>
      <c r="C27" s="2" t="s">
        <v>33</v>
      </c>
      <c r="D27" s="2" t="s">
        <v>34</v>
      </c>
      <c r="E27" s="2" t="s">
        <v>39</v>
      </c>
      <c r="F27" s="64">
        <v>54316</v>
      </c>
      <c r="G27" s="760" t="s">
        <v>453</v>
      </c>
      <c r="H27" s="788"/>
    </row>
    <row r="28" spans="1:9" ht="15" hidden="1">
      <c r="A28" s="2">
        <f t="shared" si="0"/>
        <v>1</v>
      </c>
      <c r="B28" s="2" t="s">
        <v>33</v>
      </c>
      <c r="C28" s="2" t="s">
        <v>33</v>
      </c>
      <c r="D28" s="2" t="s">
        <v>34</v>
      </c>
      <c r="E28" s="2" t="s">
        <v>39</v>
      </c>
      <c r="F28" s="64">
        <v>54399</v>
      </c>
      <c r="G28" s="760" t="s">
        <v>158</v>
      </c>
      <c r="H28" s="788"/>
    </row>
    <row r="29" spans="1:9" ht="15" hidden="1">
      <c r="A29" s="2">
        <f t="shared" si="0"/>
        <v>1</v>
      </c>
      <c r="B29" s="2" t="s">
        <v>33</v>
      </c>
      <c r="C29" s="2" t="s">
        <v>33</v>
      </c>
      <c r="D29" s="2" t="s">
        <v>34</v>
      </c>
      <c r="E29" s="2" t="s">
        <v>39</v>
      </c>
      <c r="F29" s="64">
        <v>54599</v>
      </c>
      <c r="G29" s="760" t="s">
        <v>633</v>
      </c>
      <c r="H29" s="789"/>
    </row>
    <row r="30" spans="1:9" ht="15">
      <c r="A30" s="2">
        <f t="shared" si="0"/>
        <v>1</v>
      </c>
      <c r="B30" s="2" t="s">
        <v>33</v>
      </c>
      <c r="C30" s="2" t="s">
        <v>33</v>
      </c>
      <c r="D30" s="2" t="s">
        <v>34</v>
      </c>
      <c r="E30" s="2" t="s">
        <v>39</v>
      </c>
      <c r="F30" s="64">
        <v>55603</v>
      </c>
      <c r="G30" s="760" t="s">
        <v>1021</v>
      </c>
      <c r="H30" s="788">
        <v>500</v>
      </c>
    </row>
    <row r="31" spans="1:9" ht="15">
      <c r="A31" s="2">
        <f>A30</f>
        <v>1</v>
      </c>
      <c r="B31" s="2" t="s">
        <v>33</v>
      </c>
      <c r="C31" s="2" t="s">
        <v>33</v>
      </c>
      <c r="D31" s="2" t="s">
        <v>34</v>
      </c>
      <c r="E31" s="2" t="s">
        <v>39</v>
      </c>
      <c r="F31" s="64">
        <v>56304</v>
      </c>
      <c r="G31" s="760" t="s">
        <v>109</v>
      </c>
      <c r="H31" s="789">
        <f>15747.89</f>
        <v>15747.89</v>
      </c>
      <c r="I31">
        <v>34903.9</v>
      </c>
    </row>
    <row r="32" spans="1:9" ht="15" hidden="1">
      <c r="A32" s="2">
        <f t="shared" si="0"/>
        <v>1</v>
      </c>
      <c r="B32" s="60" t="s">
        <v>33</v>
      </c>
      <c r="C32" s="60" t="s">
        <v>33</v>
      </c>
      <c r="D32" s="60" t="s">
        <v>34</v>
      </c>
      <c r="E32" s="60" t="s">
        <v>39</v>
      </c>
      <c r="F32" s="64">
        <v>72101</v>
      </c>
      <c r="G32" s="760" t="s">
        <v>164</v>
      </c>
      <c r="H32" s="787">
        <v>0</v>
      </c>
    </row>
    <row r="33" spans="1:8">
      <c r="A33" s="779"/>
      <c r="B33" s="779"/>
      <c r="C33" s="779"/>
      <c r="D33" s="779"/>
      <c r="E33" s="779"/>
      <c r="F33" s="790"/>
      <c r="G33" s="767" t="s">
        <v>166</v>
      </c>
      <c r="H33" s="781">
        <f>SUM(H11:H32)</f>
        <v>264031.65875</v>
      </c>
    </row>
    <row r="34" spans="1:8" ht="15" hidden="1">
      <c r="A34" s="60" t="s">
        <v>36</v>
      </c>
      <c r="B34" s="60" t="s">
        <v>33</v>
      </c>
      <c r="C34" s="61" t="s">
        <v>35</v>
      </c>
      <c r="D34" s="60" t="s">
        <v>34</v>
      </c>
      <c r="E34" s="60" t="s">
        <v>39</v>
      </c>
      <c r="F34" s="49" t="s">
        <v>31</v>
      </c>
      <c r="G34" s="786" t="s">
        <v>80</v>
      </c>
      <c r="H34" s="788">
        <f>SUM('CONCENTRACION DE EGRESOS'!D10)</f>
        <v>0</v>
      </c>
    </row>
    <row r="35" spans="1:8" ht="15" hidden="1">
      <c r="A35" s="60" t="s">
        <v>36</v>
      </c>
      <c r="B35" s="60" t="s">
        <v>33</v>
      </c>
      <c r="C35" s="61" t="s">
        <v>35</v>
      </c>
      <c r="D35" s="60" t="s">
        <v>34</v>
      </c>
      <c r="E35" s="60" t="s">
        <v>39</v>
      </c>
      <c r="F35" s="64">
        <v>51201</v>
      </c>
      <c r="G35" s="764" t="s">
        <v>80</v>
      </c>
      <c r="H35" s="788" t="e">
        <f>SUM('CONCENTRACION DE EGRESOS 2023'!#REF!)</f>
        <v>#REF!</v>
      </c>
    </row>
    <row r="36" spans="1:8" ht="15" hidden="1">
      <c r="A36" s="60" t="s">
        <v>36</v>
      </c>
      <c r="B36" s="60" t="s">
        <v>33</v>
      </c>
      <c r="C36" s="61" t="s">
        <v>35</v>
      </c>
      <c r="D36" s="60" t="s">
        <v>34</v>
      </c>
      <c r="E36" s="60" t="s">
        <v>39</v>
      </c>
      <c r="F36" s="64">
        <v>51203</v>
      </c>
      <c r="G36" s="764" t="s">
        <v>616</v>
      </c>
      <c r="H36" s="788">
        <f>SUM('CONCENTRACION DE EGRESOS 2023'!D14)</f>
        <v>0</v>
      </c>
    </row>
    <row r="37" spans="1:8" ht="15" hidden="1">
      <c r="A37" s="60" t="s">
        <v>36</v>
      </c>
      <c r="B37" s="60" t="s">
        <v>33</v>
      </c>
      <c r="C37" s="61" t="s">
        <v>35</v>
      </c>
      <c r="D37" s="60" t="s">
        <v>34</v>
      </c>
      <c r="E37" s="60" t="s">
        <v>39</v>
      </c>
      <c r="F37" s="49" t="s">
        <v>169</v>
      </c>
      <c r="G37" s="786" t="s">
        <v>170</v>
      </c>
      <c r="H37" s="788">
        <f>SUM('CONCENTRACION DE EGRESOS'!D16)</f>
        <v>0</v>
      </c>
    </row>
    <row r="38" spans="1:8" ht="15" hidden="1">
      <c r="A38" s="60" t="s">
        <v>36</v>
      </c>
      <c r="B38" s="60" t="s">
        <v>33</v>
      </c>
      <c r="C38" s="61" t="s">
        <v>35</v>
      </c>
      <c r="D38" s="60" t="s">
        <v>34</v>
      </c>
      <c r="E38" s="60" t="s">
        <v>39</v>
      </c>
      <c r="F38" s="49" t="s">
        <v>89</v>
      </c>
      <c r="G38" s="786" t="s">
        <v>90</v>
      </c>
      <c r="H38" s="788">
        <f>SUM('CONCENTRACION DE EGRESOS'!D19)</f>
        <v>0</v>
      </c>
    </row>
    <row r="39" spans="1:8" ht="15" hidden="1">
      <c r="A39" s="60" t="s">
        <v>36</v>
      </c>
      <c r="B39" s="60" t="s">
        <v>33</v>
      </c>
      <c r="C39" s="61" t="s">
        <v>35</v>
      </c>
      <c r="D39" s="60" t="s">
        <v>34</v>
      </c>
      <c r="E39" s="60" t="s">
        <v>39</v>
      </c>
      <c r="F39" s="49" t="s">
        <v>91</v>
      </c>
      <c r="G39" s="786" t="s">
        <v>92</v>
      </c>
      <c r="H39" s="788">
        <f>SUM('CONCENTRACION DE EGRESOS'!D20)</f>
        <v>0</v>
      </c>
    </row>
    <row r="40" spans="1:8" hidden="1">
      <c r="A40" s="396"/>
      <c r="B40" s="396"/>
      <c r="C40" s="396"/>
      <c r="D40" s="396"/>
      <c r="E40" s="396"/>
      <c r="F40" s="791" t="s">
        <v>165</v>
      </c>
      <c r="G40" s="792" t="s">
        <v>166</v>
      </c>
      <c r="H40" s="793" t="e">
        <f>SUM(H34:H39)</f>
        <v>#REF!</v>
      </c>
    </row>
    <row r="41" spans="1:8" ht="15" hidden="1">
      <c r="A41" s="60" t="s">
        <v>36</v>
      </c>
      <c r="B41" s="61" t="s">
        <v>35</v>
      </c>
      <c r="C41" s="61" t="s">
        <v>33</v>
      </c>
      <c r="D41" s="60" t="s">
        <v>34</v>
      </c>
      <c r="E41" s="60" t="s">
        <v>39</v>
      </c>
      <c r="F41" s="49" t="s">
        <v>31</v>
      </c>
      <c r="G41" s="786" t="s">
        <v>80</v>
      </c>
      <c r="H41" s="788">
        <f>SUM('CONCENTRACION DE EGRESOS'!E10)</f>
        <v>0</v>
      </c>
    </row>
    <row r="42" spans="1:8" ht="15" hidden="1">
      <c r="A42" s="60" t="s">
        <v>36</v>
      </c>
      <c r="B42" s="61" t="s">
        <v>35</v>
      </c>
      <c r="C42" s="61" t="s">
        <v>33</v>
      </c>
      <c r="D42" s="60" t="s">
        <v>34</v>
      </c>
      <c r="E42" s="60" t="s">
        <v>39</v>
      </c>
      <c r="F42" s="49" t="s">
        <v>169</v>
      </c>
      <c r="G42" s="786" t="s">
        <v>170</v>
      </c>
      <c r="H42" s="788">
        <f>SUM('CONCENTRACION DE EGRESOS'!E16)</f>
        <v>0</v>
      </c>
    </row>
    <row r="43" spans="1:8" ht="15" hidden="1">
      <c r="A43" s="60" t="s">
        <v>36</v>
      </c>
      <c r="B43" s="61" t="s">
        <v>35</v>
      </c>
      <c r="C43" s="61" t="s">
        <v>33</v>
      </c>
      <c r="D43" s="60" t="s">
        <v>34</v>
      </c>
      <c r="E43" s="60" t="s">
        <v>39</v>
      </c>
      <c r="F43" s="49" t="s">
        <v>89</v>
      </c>
      <c r="G43" s="786" t="s">
        <v>90</v>
      </c>
      <c r="H43" s="788">
        <f>SUM('CONCENTRACION DE EGRESOS'!E19)</f>
        <v>0</v>
      </c>
    </row>
    <row r="44" spans="1:8" ht="15" hidden="1">
      <c r="A44" s="60" t="s">
        <v>36</v>
      </c>
      <c r="B44" s="61" t="s">
        <v>35</v>
      </c>
      <c r="C44" s="61" t="s">
        <v>33</v>
      </c>
      <c r="D44" s="60" t="s">
        <v>34</v>
      </c>
      <c r="E44" s="60" t="s">
        <v>39</v>
      </c>
      <c r="F44" s="49" t="s">
        <v>91</v>
      </c>
      <c r="G44" s="786" t="s">
        <v>92</v>
      </c>
      <c r="H44" s="788">
        <f>SUM('CONCENTRACION DE EGRESOS'!E20)</f>
        <v>0</v>
      </c>
    </row>
    <row r="45" spans="1:8" hidden="1">
      <c r="A45" s="396"/>
      <c r="B45" s="396"/>
      <c r="C45" s="396"/>
      <c r="D45" s="396"/>
      <c r="E45" s="396"/>
      <c r="F45" s="794"/>
      <c r="G45" s="792" t="s">
        <v>166</v>
      </c>
      <c r="H45" s="793">
        <f>SUM(H41:H44)</f>
        <v>0</v>
      </c>
    </row>
    <row r="46" spans="1:8" ht="15" hidden="1">
      <c r="A46" s="60" t="s">
        <v>36</v>
      </c>
      <c r="B46" s="61" t="s">
        <v>35</v>
      </c>
      <c r="C46" s="61" t="s">
        <v>35</v>
      </c>
      <c r="D46" s="60" t="s">
        <v>34</v>
      </c>
      <c r="E46" s="60" t="s">
        <v>39</v>
      </c>
      <c r="F46" s="49" t="s">
        <v>31</v>
      </c>
      <c r="G46" s="786" t="s">
        <v>80</v>
      </c>
      <c r="H46" s="788">
        <f>SUM('CONCENTRACION DE EGRESOS'!F10)</f>
        <v>0</v>
      </c>
    </row>
    <row r="47" spans="1:8" ht="15">
      <c r="A47" s="60" t="s">
        <v>36</v>
      </c>
      <c r="B47" s="61" t="s">
        <v>35</v>
      </c>
      <c r="C47" s="61" t="s">
        <v>35</v>
      </c>
      <c r="D47" s="60" t="s">
        <v>34</v>
      </c>
      <c r="E47" s="60" t="s">
        <v>39</v>
      </c>
      <c r="F47" s="64">
        <v>51202</v>
      </c>
      <c r="G47" s="763" t="s">
        <v>171</v>
      </c>
      <c r="H47" s="788">
        <f>SUM('PAG, FOND, PROP'!M46)+4940+3689.36</f>
        <v>32685.360000000001</v>
      </c>
    </row>
    <row r="48" spans="1:8" ht="15" hidden="1">
      <c r="A48" s="60" t="s">
        <v>36</v>
      </c>
      <c r="B48" s="61" t="s">
        <v>35</v>
      </c>
      <c r="C48" s="61" t="s">
        <v>35</v>
      </c>
      <c r="D48" s="60" t="s">
        <v>34</v>
      </c>
      <c r="E48" s="60" t="s">
        <v>39</v>
      </c>
      <c r="F48" s="49" t="s">
        <v>169</v>
      </c>
      <c r="G48" s="786" t="s">
        <v>170</v>
      </c>
      <c r="H48" s="788">
        <f>SUM('CONCENTRACION DE EGRESOS'!F16)</f>
        <v>0</v>
      </c>
    </row>
    <row r="49" spans="1:10" ht="15" hidden="1">
      <c r="A49" s="60" t="s">
        <v>36</v>
      </c>
      <c r="B49" s="61" t="s">
        <v>35</v>
      </c>
      <c r="C49" s="61" t="s">
        <v>35</v>
      </c>
      <c r="D49" s="60" t="s">
        <v>34</v>
      </c>
      <c r="E49" s="60" t="s">
        <v>39</v>
      </c>
      <c r="F49" s="222" t="s">
        <v>86</v>
      </c>
      <c r="G49" s="786" t="s">
        <v>616</v>
      </c>
      <c r="H49" s="788">
        <f>SUM('CONCENTRACION DE EGRESOS 2023'!F14)</f>
        <v>0</v>
      </c>
    </row>
    <row r="50" spans="1:10" ht="15">
      <c r="A50" s="60" t="s">
        <v>36</v>
      </c>
      <c r="B50" s="61" t="s">
        <v>35</v>
      </c>
      <c r="C50" s="61" t="s">
        <v>35</v>
      </c>
      <c r="D50" s="60" t="s">
        <v>34</v>
      </c>
      <c r="E50" s="60" t="s">
        <v>39</v>
      </c>
      <c r="F50" s="64">
        <v>54107</v>
      </c>
      <c r="G50" s="760" t="s">
        <v>131</v>
      </c>
      <c r="H50" s="788">
        <v>2000</v>
      </c>
    </row>
    <row r="51" spans="1:10" ht="15">
      <c r="A51" s="60" t="s">
        <v>36</v>
      </c>
      <c r="B51" s="61" t="s">
        <v>35</v>
      </c>
      <c r="C51" s="61" t="s">
        <v>35</v>
      </c>
      <c r="D51" s="60" t="s">
        <v>34</v>
      </c>
      <c r="E51" s="60" t="s">
        <v>39</v>
      </c>
      <c r="F51" s="64">
        <v>54111</v>
      </c>
      <c r="G51" s="760" t="s">
        <v>135</v>
      </c>
      <c r="H51" s="788">
        <v>650</v>
      </c>
    </row>
    <row r="52" spans="1:10" ht="15">
      <c r="A52" s="60" t="s">
        <v>36</v>
      </c>
      <c r="B52" s="61" t="s">
        <v>35</v>
      </c>
      <c r="C52" s="61" t="s">
        <v>35</v>
      </c>
      <c r="D52" s="60" t="s">
        <v>34</v>
      </c>
      <c r="E52" s="60" t="s">
        <v>39</v>
      </c>
      <c r="F52" s="64">
        <v>54112</v>
      </c>
      <c r="G52" s="760" t="s">
        <v>136</v>
      </c>
      <c r="H52" s="788">
        <v>800</v>
      </c>
    </row>
    <row r="53" spans="1:10" ht="15">
      <c r="A53" s="60" t="s">
        <v>36</v>
      </c>
      <c r="B53" s="61" t="s">
        <v>35</v>
      </c>
      <c r="C53" s="61" t="s">
        <v>35</v>
      </c>
      <c r="D53" s="60" t="s">
        <v>34</v>
      </c>
      <c r="E53" s="60" t="s">
        <v>39</v>
      </c>
      <c r="F53" s="64">
        <v>54118</v>
      </c>
      <c r="G53" s="760" t="s">
        <v>140</v>
      </c>
      <c r="H53" s="788">
        <v>1500</v>
      </c>
    </row>
    <row r="54" spans="1:10" ht="15">
      <c r="A54" s="60" t="s">
        <v>36</v>
      </c>
      <c r="B54" s="61" t="s">
        <v>35</v>
      </c>
      <c r="C54" s="61" t="s">
        <v>35</v>
      </c>
      <c r="D54" s="60" t="s">
        <v>34</v>
      </c>
      <c r="E54" s="60" t="s">
        <v>39</v>
      </c>
      <c r="F54" s="64">
        <v>54119</v>
      </c>
      <c r="G54" s="760" t="s">
        <v>141</v>
      </c>
      <c r="H54" s="788">
        <v>1000</v>
      </c>
    </row>
    <row r="55" spans="1:10" ht="15">
      <c r="A55" s="60" t="s">
        <v>36</v>
      </c>
      <c r="B55" s="61" t="s">
        <v>35</v>
      </c>
      <c r="C55" s="61" t="s">
        <v>35</v>
      </c>
      <c r="D55" s="60" t="s">
        <v>34</v>
      </c>
      <c r="E55" s="60" t="s">
        <v>39</v>
      </c>
      <c r="F55" s="64">
        <v>54199</v>
      </c>
      <c r="G55" s="760" t="s">
        <v>143</v>
      </c>
      <c r="H55" s="788">
        <v>1000</v>
      </c>
    </row>
    <row r="56" spans="1:10" ht="15">
      <c r="A56" s="60" t="s">
        <v>36</v>
      </c>
      <c r="B56" s="61" t="s">
        <v>35</v>
      </c>
      <c r="C56" s="61" t="s">
        <v>35</v>
      </c>
      <c r="D56" s="60" t="s">
        <v>34</v>
      </c>
      <c r="E56" s="60" t="s">
        <v>39</v>
      </c>
      <c r="F56" s="64">
        <v>54201</v>
      </c>
      <c r="G56" s="760" t="s">
        <v>632</v>
      </c>
      <c r="H56" s="788">
        <v>2400</v>
      </c>
    </row>
    <row r="57" spans="1:10" ht="15">
      <c r="A57" s="60" t="s">
        <v>36</v>
      </c>
      <c r="B57" s="61" t="s">
        <v>35</v>
      </c>
      <c r="C57" s="61" t="s">
        <v>35</v>
      </c>
      <c r="D57" s="60" t="s">
        <v>34</v>
      </c>
      <c r="E57" s="60" t="s">
        <v>39</v>
      </c>
      <c r="F57" s="64">
        <v>54202</v>
      </c>
      <c r="G57" s="760" t="s">
        <v>145</v>
      </c>
      <c r="H57" s="788">
        <v>900</v>
      </c>
    </row>
    <row r="58" spans="1:10" ht="15">
      <c r="A58" s="60" t="s">
        <v>36</v>
      </c>
      <c r="B58" s="61" t="s">
        <v>35</v>
      </c>
      <c r="C58" s="61" t="s">
        <v>35</v>
      </c>
      <c r="D58" s="60" t="s">
        <v>34</v>
      </c>
      <c r="E58" s="60" t="s">
        <v>39</v>
      </c>
      <c r="F58" s="64">
        <v>54303</v>
      </c>
      <c r="G58" s="760" t="s">
        <v>151</v>
      </c>
      <c r="H58" s="788">
        <v>6000</v>
      </c>
    </row>
    <row r="59" spans="1:10" ht="15">
      <c r="A59" s="60" t="s">
        <v>36</v>
      </c>
      <c r="B59" s="61" t="s">
        <v>35</v>
      </c>
      <c r="C59" s="61" t="s">
        <v>35</v>
      </c>
      <c r="D59" s="60" t="s">
        <v>34</v>
      </c>
      <c r="E59" s="60" t="s">
        <v>39</v>
      </c>
      <c r="F59" s="64">
        <v>54316</v>
      </c>
      <c r="G59" s="760" t="s">
        <v>1022</v>
      </c>
      <c r="H59" s="788">
        <v>8000</v>
      </c>
    </row>
    <row r="60" spans="1:10" ht="15">
      <c r="A60" s="60" t="s">
        <v>36</v>
      </c>
      <c r="B60" s="61" t="s">
        <v>35</v>
      </c>
      <c r="C60" s="61" t="s">
        <v>35</v>
      </c>
      <c r="D60" s="60" t="s">
        <v>34</v>
      </c>
      <c r="E60" s="60" t="s">
        <v>39</v>
      </c>
      <c r="F60" s="64">
        <v>56303</v>
      </c>
      <c r="G60" s="760" t="s">
        <v>1023</v>
      </c>
      <c r="H60" s="788">
        <v>1200</v>
      </c>
    </row>
    <row r="61" spans="1:10" ht="15">
      <c r="A61" s="60" t="s">
        <v>36</v>
      </c>
      <c r="B61" s="61" t="s">
        <v>35</v>
      </c>
      <c r="C61" s="61" t="s">
        <v>35</v>
      </c>
      <c r="D61" s="60" t="s">
        <v>34</v>
      </c>
      <c r="E61" s="60" t="s">
        <v>39</v>
      </c>
      <c r="F61" s="64">
        <v>54599</v>
      </c>
      <c r="G61" s="760" t="s">
        <v>633</v>
      </c>
      <c r="H61" s="788">
        <v>4500</v>
      </c>
    </row>
    <row r="62" spans="1:10">
      <c r="A62" s="1508" t="s">
        <v>304</v>
      </c>
      <c r="B62" s="1508"/>
      <c r="C62" s="1508"/>
      <c r="D62" s="1508"/>
      <c r="E62" s="1508"/>
      <c r="F62" s="1508"/>
      <c r="G62" s="1508"/>
      <c r="H62" s="781">
        <f>SUM(H46:H61)</f>
        <v>62635.360000000001</v>
      </c>
      <c r="I62">
        <f>328312.72</f>
        <v>328312.71999999997</v>
      </c>
    </row>
    <row r="63" spans="1:10">
      <c r="A63" s="1507" t="s">
        <v>167</v>
      </c>
      <c r="B63" s="1507"/>
      <c r="C63" s="1507"/>
      <c r="D63" s="1507"/>
      <c r="E63" s="1507"/>
      <c r="F63" s="1507"/>
      <c r="G63" s="1507"/>
      <c r="H63" s="782">
        <f>H33+H62</f>
        <v>326667.01874999999</v>
      </c>
      <c r="I63" s="295">
        <f>H63-I62</f>
        <v>-1645.7012499999837</v>
      </c>
      <c r="J63" s="295">
        <f>I63-H63</f>
        <v>-328312.71999999997</v>
      </c>
    </row>
    <row r="64" spans="1:10">
      <c r="A64" s="6"/>
      <c r="B64" s="6"/>
      <c r="C64" s="6"/>
      <c r="D64" s="6"/>
      <c r="E64" s="6"/>
      <c r="H64" s="780"/>
      <c r="I64" s="295"/>
    </row>
    <row r="65" spans="1:8">
      <c r="A65" s="6"/>
      <c r="B65" s="6"/>
      <c r="C65" s="6"/>
      <c r="D65" s="6"/>
      <c r="E65" s="6"/>
      <c r="H65" s="100"/>
    </row>
    <row r="66" spans="1:8">
      <c r="A66" s="6"/>
      <c r="B66" s="965" t="s">
        <v>901</v>
      </c>
      <c r="C66" s="6"/>
      <c r="D66" s="6"/>
      <c r="E66" s="6"/>
      <c r="H66" s="100"/>
    </row>
    <row r="67" spans="1:8">
      <c r="A67" s="6"/>
      <c r="B67" s="6"/>
      <c r="C67" s="6"/>
      <c r="D67" s="6"/>
      <c r="E67" s="6"/>
      <c r="H67" s="100"/>
    </row>
    <row r="68" spans="1:8">
      <c r="A68" s="6"/>
      <c r="B68" s="6"/>
      <c r="C68" s="6"/>
      <c r="D68" s="6"/>
      <c r="E68" s="6"/>
      <c r="H68" s="100"/>
    </row>
    <row r="69" spans="1:8">
      <c r="A69" s="6"/>
      <c r="B69" s="6"/>
      <c r="C69" s="6"/>
      <c r="D69" s="6"/>
      <c r="E69" s="6"/>
      <c r="H69" s="100"/>
    </row>
    <row r="70" spans="1:8">
      <c r="A70" s="6"/>
      <c r="B70" s="6"/>
      <c r="C70" s="6"/>
      <c r="D70" s="6"/>
      <c r="E70" s="6"/>
      <c r="H70" s="100"/>
    </row>
    <row r="71" spans="1:8">
      <c r="A71" s="6"/>
      <c r="B71" s="6"/>
      <c r="C71" s="6"/>
      <c r="D71" s="6"/>
      <c r="E71" s="6"/>
      <c r="H71" s="100"/>
    </row>
    <row r="72" spans="1:8">
      <c r="A72" s="6"/>
      <c r="B72" s="6"/>
      <c r="C72" s="6"/>
      <c r="D72" s="6"/>
      <c r="E72" s="6"/>
      <c r="H72" s="100"/>
    </row>
    <row r="73" spans="1:8">
      <c r="A73" s="6"/>
      <c r="B73" s="6"/>
      <c r="C73" s="6"/>
      <c r="D73" s="6"/>
      <c r="E73" s="6"/>
      <c r="H73" s="100"/>
    </row>
    <row r="74" spans="1:8">
      <c r="A74" s="6"/>
      <c r="B74" s="6"/>
      <c r="C74" s="6"/>
      <c r="D74" s="6"/>
      <c r="E74" s="6"/>
      <c r="H74" s="100"/>
    </row>
    <row r="75" spans="1:8">
      <c r="H75" s="100"/>
    </row>
    <row r="76" spans="1:8">
      <c r="H76" s="100"/>
    </row>
    <row r="77" spans="1:8">
      <c r="H77" s="100"/>
    </row>
    <row r="78" spans="1:8">
      <c r="H78" s="100"/>
    </row>
    <row r="79" spans="1:8">
      <c r="H79" s="100"/>
    </row>
    <row r="80" spans="1:8">
      <c r="H80" s="100"/>
    </row>
    <row r="81" spans="8:8">
      <c r="H81" s="100"/>
    </row>
    <row r="82" spans="8:8">
      <c r="H82" s="100"/>
    </row>
    <row r="83" spans="8:8">
      <c r="H83" s="100"/>
    </row>
    <row r="84" spans="8:8">
      <c r="H84" s="100"/>
    </row>
    <row r="85" spans="8:8">
      <c r="H85" s="100"/>
    </row>
    <row r="86" spans="8:8">
      <c r="H86" s="100"/>
    </row>
    <row r="87" spans="8:8">
      <c r="H87" s="100"/>
    </row>
    <row r="88" spans="8:8">
      <c r="H88" s="100"/>
    </row>
    <row r="89" spans="8:8">
      <c r="H89" s="100"/>
    </row>
    <row r="90" spans="8:8">
      <c r="H90" s="100"/>
    </row>
    <row r="91" spans="8:8">
      <c r="H91" s="100"/>
    </row>
    <row r="92" spans="8:8">
      <c r="H92" s="100"/>
    </row>
    <row r="93" spans="8:8">
      <c r="H93" s="100"/>
    </row>
    <row r="94" spans="8:8">
      <c r="H94" s="100"/>
    </row>
    <row r="95" spans="8:8">
      <c r="H95" s="100"/>
    </row>
    <row r="96" spans="8:8">
      <c r="H96" s="100"/>
    </row>
    <row r="97" spans="8:8">
      <c r="H97" s="100"/>
    </row>
    <row r="98" spans="8:8">
      <c r="H98" s="100"/>
    </row>
    <row r="99" spans="8:8">
      <c r="H99" s="100"/>
    </row>
    <row r="100" spans="8:8">
      <c r="H100" s="100"/>
    </row>
    <row r="101" spans="8:8">
      <c r="H101" s="100"/>
    </row>
    <row r="102" spans="8:8">
      <c r="H102" s="100"/>
    </row>
    <row r="103" spans="8:8">
      <c r="H103" s="100"/>
    </row>
    <row r="104" spans="8:8">
      <c r="H104" s="100"/>
    </row>
    <row r="105" spans="8:8">
      <c r="H105" s="100"/>
    </row>
    <row r="106" spans="8:8">
      <c r="H106" s="100"/>
    </row>
    <row r="107" spans="8:8">
      <c r="H107" s="100"/>
    </row>
    <row r="108" spans="8:8">
      <c r="H108" s="100"/>
    </row>
    <row r="109" spans="8:8">
      <c r="H109" s="100"/>
    </row>
    <row r="110" spans="8:8">
      <c r="H110" s="100"/>
    </row>
    <row r="111" spans="8:8">
      <c r="H111" s="100"/>
    </row>
    <row r="112" spans="8:8">
      <c r="H112" s="100"/>
    </row>
    <row r="113" spans="8:8">
      <c r="H113" s="100"/>
    </row>
    <row r="114" spans="8:8">
      <c r="H114" s="100"/>
    </row>
    <row r="115" spans="8:8">
      <c r="H115" s="100"/>
    </row>
    <row r="116" spans="8:8">
      <c r="H116" s="100"/>
    </row>
    <row r="117" spans="8:8">
      <c r="H117" s="100"/>
    </row>
    <row r="118" spans="8:8">
      <c r="H118" s="100"/>
    </row>
    <row r="119" spans="8:8">
      <c r="H119" s="100"/>
    </row>
    <row r="120" spans="8:8">
      <c r="H120" s="100"/>
    </row>
    <row r="121" spans="8:8">
      <c r="H121" s="100"/>
    </row>
    <row r="122" spans="8:8">
      <c r="H122" s="100"/>
    </row>
    <row r="123" spans="8:8">
      <c r="H123" s="100"/>
    </row>
    <row r="124" spans="8:8">
      <c r="H124" s="100"/>
    </row>
    <row r="125" spans="8:8">
      <c r="H125" s="100"/>
    </row>
    <row r="126" spans="8:8">
      <c r="H126" s="100"/>
    </row>
    <row r="127" spans="8:8">
      <c r="H127" s="100"/>
    </row>
    <row r="128" spans="8:8">
      <c r="H128" s="100"/>
    </row>
    <row r="129" spans="8:8">
      <c r="H129" s="100"/>
    </row>
    <row r="130" spans="8:8">
      <c r="H130" s="100"/>
    </row>
    <row r="131" spans="8:8">
      <c r="H131" s="100"/>
    </row>
    <row r="132" spans="8:8">
      <c r="H132" s="100"/>
    </row>
    <row r="133" spans="8:8">
      <c r="H133" s="100"/>
    </row>
    <row r="134" spans="8:8">
      <c r="H134" s="100"/>
    </row>
    <row r="135" spans="8:8">
      <c r="H135" s="100"/>
    </row>
    <row r="136" spans="8:8">
      <c r="H136" s="100"/>
    </row>
    <row r="137" spans="8:8">
      <c r="H137" s="100"/>
    </row>
    <row r="138" spans="8:8">
      <c r="H138" s="100"/>
    </row>
    <row r="139" spans="8:8">
      <c r="H139" s="100"/>
    </row>
    <row r="140" spans="8:8">
      <c r="H140" s="100"/>
    </row>
    <row r="141" spans="8:8">
      <c r="H141" s="100"/>
    </row>
    <row r="142" spans="8:8">
      <c r="H142" s="100"/>
    </row>
    <row r="143" spans="8:8">
      <c r="H143" s="100"/>
    </row>
    <row r="144" spans="8:8">
      <c r="H144" s="100"/>
    </row>
    <row r="145" spans="8:8">
      <c r="H145" s="100"/>
    </row>
    <row r="146" spans="8:8">
      <c r="H146" s="100"/>
    </row>
    <row r="147" spans="8:8">
      <c r="H147" s="100"/>
    </row>
    <row r="148" spans="8:8">
      <c r="H148" s="100"/>
    </row>
    <row r="149" spans="8:8">
      <c r="H149" s="100"/>
    </row>
    <row r="150" spans="8:8">
      <c r="H150" s="100"/>
    </row>
    <row r="151" spans="8:8">
      <c r="H151" s="100"/>
    </row>
    <row r="152" spans="8:8">
      <c r="H152" s="100"/>
    </row>
    <row r="153" spans="8:8">
      <c r="H153" s="100"/>
    </row>
    <row r="154" spans="8:8">
      <c r="H154" s="100"/>
    </row>
    <row r="155" spans="8:8">
      <c r="H155" s="100"/>
    </row>
  </sheetData>
  <mergeCells count="12">
    <mergeCell ref="A7:H7"/>
    <mergeCell ref="A2:H2"/>
    <mergeCell ref="A3:H3"/>
    <mergeCell ref="A4:H4"/>
    <mergeCell ref="A5:H5"/>
    <mergeCell ref="A6:H6"/>
    <mergeCell ref="A63:G63"/>
    <mergeCell ref="A62:G62"/>
    <mergeCell ref="A8:H8"/>
    <mergeCell ref="A9:F9"/>
    <mergeCell ref="G9:G10"/>
    <mergeCell ref="H9:H10"/>
  </mergeCells>
  <pageMargins left="1.0629921259842521" right="0.23622047244094491" top="0.59055118110236227" bottom="1.0629921259842521" header="0.31496062992125984" footer="0.15748031496062992"/>
  <pageSetup scale="98"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K59"/>
  <sheetViews>
    <sheetView zoomScale="110" zoomScaleNormal="110" workbookViewId="0">
      <selection activeCell="N14" sqref="N14"/>
    </sheetView>
  </sheetViews>
  <sheetFormatPr baseColWidth="10" defaultRowHeight="12.75"/>
  <cols>
    <col min="1" max="1" width="5.28515625" customWidth="1"/>
    <col min="2" max="2" width="5.7109375" customWidth="1"/>
    <col min="3" max="3" width="4.5703125" customWidth="1"/>
    <col min="4" max="4" width="4" style="5" customWidth="1"/>
    <col min="5" max="5" width="6.7109375" style="6" customWidth="1"/>
    <col min="6" max="6" width="8.28515625" style="30" customWidth="1"/>
    <col min="7" max="7" width="42.7109375" customWidth="1"/>
    <col min="8" max="8" width="18.42578125" customWidth="1"/>
    <col min="9" max="9" width="26.28515625" customWidth="1"/>
    <col min="10" max="10" width="11.42578125" style="5"/>
  </cols>
  <sheetData>
    <row r="1" spans="1:9" ht="18">
      <c r="A1" s="1524"/>
      <c r="B1" s="1524"/>
      <c r="C1" s="1524"/>
      <c r="D1" s="1524"/>
      <c r="E1" s="1524"/>
      <c r="F1" s="1524"/>
      <c r="G1" s="1524"/>
      <c r="H1" s="1524"/>
    </row>
    <row r="2" spans="1:9" ht="18">
      <c r="A2" s="1517" t="s">
        <v>79</v>
      </c>
      <c r="B2" s="1517"/>
      <c r="C2" s="1517"/>
      <c r="D2" s="1517"/>
      <c r="E2" s="1517"/>
      <c r="F2" s="1517"/>
      <c r="G2" s="1517"/>
      <c r="H2" s="1517"/>
    </row>
    <row r="3" spans="1:9" ht="18">
      <c r="A3" s="1517" t="s">
        <v>78</v>
      </c>
      <c r="B3" s="1517"/>
      <c r="C3" s="1517"/>
      <c r="D3" s="1517"/>
      <c r="E3" s="1517"/>
      <c r="F3" s="1517"/>
      <c r="G3" s="1517"/>
      <c r="H3" s="1517"/>
    </row>
    <row r="4" spans="1:9" ht="18">
      <c r="A4" s="1518" t="s">
        <v>1039</v>
      </c>
      <c r="B4" s="1518"/>
      <c r="C4" s="1518"/>
      <c r="D4" s="1518"/>
      <c r="E4" s="1518"/>
      <c r="F4" s="1518"/>
      <c r="G4" s="1518"/>
      <c r="H4" s="1518"/>
    </row>
    <row r="5" spans="1:9" ht="18.75">
      <c r="A5" s="1519" t="s">
        <v>790</v>
      </c>
      <c r="B5" s="1519"/>
      <c r="C5" s="1519"/>
      <c r="D5" s="1519"/>
      <c r="E5" s="1519"/>
      <c r="F5" s="1519"/>
      <c r="G5" s="1519"/>
      <c r="H5" s="1519"/>
    </row>
    <row r="6" spans="1:9" ht="18.75">
      <c r="A6" s="1207"/>
      <c r="B6" s="1207"/>
      <c r="C6" s="1207"/>
      <c r="D6" s="1207"/>
      <c r="E6" s="1207"/>
      <c r="F6" s="1207"/>
      <c r="G6" s="1207"/>
      <c r="H6" s="1207"/>
    </row>
    <row r="7" spans="1:9">
      <c r="A7" s="1525" t="s">
        <v>23</v>
      </c>
      <c r="B7" s="1525"/>
      <c r="C7" s="1525"/>
      <c r="D7" s="1525"/>
      <c r="E7" s="1525"/>
      <c r="F7" s="1525"/>
      <c r="G7" s="1525"/>
      <c r="H7" s="1525"/>
    </row>
    <row r="8" spans="1:9" ht="7.5" customHeight="1">
      <c r="A8" s="1525"/>
      <c r="B8" s="1525"/>
      <c r="C8" s="1525"/>
      <c r="D8" s="1525"/>
      <c r="E8" s="1525"/>
      <c r="F8" s="1525"/>
      <c r="G8" s="1525"/>
      <c r="H8" s="1525"/>
    </row>
    <row r="9" spans="1:9" ht="17.25" customHeight="1">
      <c r="A9" s="1526" t="s">
        <v>913</v>
      </c>
      <c r="B9" s="1527"/>
      <c r="C9" s="1527"/>
      <c r="D9" s="1527"/>
      <c r="E9" s="1527"/>
      <c r="F9" s="1527"/>
      <c r="G9" s="1527"/>
      <c r="H9" s="1527"/>
    </row>
    <row r="10" spans="1:9" ht="15">
      <c r="A10" s="1528" t="s">
        <v>8</v>
      </c>
      <c r="B10" s="1528"/>
      <c r="C10" s="1528"/>
      <c r="D10" s="1528"/>
      <c r="E10" s="1528"/>
      <c r="F10" s="1528"/>
      <c r="G10" s="1529" t="s">
        <v>20</v>
      </c>
      <c r="H10" s="1530" t="s">
        <v>27</v>
      </c>
    </row>
    <row r="11" spans="1:9" ht="61.5" customHeight="1">
      <c r="A11" s="521" t="s">
        <v>796</v>
      </c>
      <c r="B11" s="522" t="s">
        <v>179</v>
      </c>
      <c r="C11" s="521" t="s">
        <v>797</v>
      </c>
      <c r="D11" s="521" t="s">
        <v>21</v>
      </c>
      <c r="E11" s="523" t="s">
        <v>314</v>
      </c>
      <c r="F11" s="521" t="s">
        <v>19</v>
      </c>
      <c r="G11" s="1529"/>
      <c r="H11" s="1530"/>
      <c r="I11" s="295"/>
    </row>
    <row r="12" spans="1:9" ht="15">
      <c r="A12" s="471">
        <v>6</v>
      </c>
      <c r="B12" s="472" t="s">
        <v>33</v>
      </c>
      <c r="C12" s="472" t="s">
        <v>33</v>
      </c>
      <c r="D12" s="471">
        <v>1</v>
      </c>
      <c r="E12" s="471">
        <v>120</v>
      </c>
      <c r="F12" s="518" t="s">
        <v>31</v>
      </c>
      <c r="G12" s="519" t="s">
        <v>80</v>
      </c>
      <c r="H12" s="520">
        <f>'Proy. de recur.Humanos'!H34</f>
        <v>265317</v>
      </c>
      <c r="I12">
        <v>231265</v>
      </c>
    </row>
    <row r="13" spans="1:9" ht="15">
      <c r="A13" s="471">
        <v>6</v>
      </c>
      <c r="B13" s="472" t="s">
        <v>33</v>
      </c>
      <c r="C13" s="472" t="s">
        <v>33</v>
      </c>
      <c r="D13" s="471">
        <v>1</v>
      </c>
      <c r="E13" s="471">
        <v>120</v>
      </c>
      <c r="F13" s="49" t="s">
        <v>81</v>
      </c>
      <c r="G13" s="9" t="s">
        <v>82</v>
      </c>
      <c r="H13" s="10">
        <f>'Proy. de recur.Humanos'!J34</f>
        <v>22109.75</v>
      </c>
      <c r="I13">
        <v>23126.5</v>
      </c>
    </row>
    <row r="14" spans="1:9" ht="15">
      <c r="A14" s="471">
        <v>6</v>
      </c>
      <c r="B14" s="472" t="s">
        <v>33</v>
      </c>
      <c r="C14" s="472" t="s">
        <v>33</v>
      </c>
      <c r="D14" s="471">
        <v>1</v>
      </c>
      <c r="E14" s="471">
        <v>120</v>
      </c>
      <c r="F14" s="222" t="s">
        <v>173</v>
      </c>
      <c r="G14" s="273" t="s">
        <v>171</v>
      </c>
      <c r="H14" s="10">
        <v>6000</v>
      </c>
      <c r="I14">
        <v>15430.28</v>
      </c>
    </row>
    <row r="15" spans="1:9" ht="15">
      <c r="A15" s="471">
        <v>6</v>
      </c>
      <c r="B15" s="472" t="s">
        <v>33</v>
      </c>
      <c r="C15" s="472" t="s">
        <v>33</v>
      </c>
      <c r="D15" s="471">
        <v>1</v>
      </c>
      <c r="E15" s="471">
        <v>120</v>
      </c>
      <c r="F15" s="49" t="s">
        <v>89</v>
      </c>
      <c r="G15" s="9" t="s">
        <v>90</v>
      </c>
      <c r="H15" s="10">
        <f>'Proy. de recur.Humanos'!M34+'Proy. de recur.Humanos'!O34+'Proy. de recur.Humanos'!N34</f>
        <v>17479.244999999999</v>
      </c>
      <c r="I15">
        <v>15430.28</v>
      </c>
    </row>
    <row r="16" spans="1:9" ht="15">
      <c r="A16" s="471">
        <v>6</v>
      </c>
      <c r="B16" s="472" t="s">
        <v>33</v>
      </c>
      <c r="C16" s="472" t="s">
        <v>33</v>
      </c>
      <c r="D16" s="471">
        <v>1</v>
      </c>
      <c r="E16" s="471">
        <v>120</v>
      </c>
      <c r="F16" s="49" t="s">
        <v>91</v>
      </c>
      <c r="G16" s="9" t="s">
        <v>92</v>
      </c>
      <c r="H16" s="10">
        <f>'Proy. de recur.Humanos'!K34</f>
        <v>19632.067500000001</v>
      </c>
      <c r="I16">
        <v>17148.04</v>
      </c>
    </row>
    <row r="17" spans="1:10" ht="15">
      <c r="A17" s="1531" t="s">
        <v>165</v>
      </c>
      <c r="B17" s="1532"/>
      <c r="C17" s="1532"/>
      <c r="D17" s="1532"/>
      <c r="E17" s="1532"/>
      <c r="F17" s="1532"/>
      <c r="G17" s="1533"/>
      <c r="H17" s="443">
        <f>SUM(H12:H16)</f>
        <v>330538.0625</v>
      </c>
    </row>
    <row r="18" spans="1:10" ht="15">
      <c r="A18" s="471">
        <v>6</v>
      </c>
      <c r="B18" s="472" t="s">
        <v>33</v>
      </c>
      <c r="C18" s="472" t="s">
        <v>33</v>
      </c>
      <c r="D18" s="471">
        <v>1</v>
      </c>
      <c r="E18" s="471">
        <v>120</v>
      </c>
      <c r="F18" s="64">
        <v>54101</v>
      </c>
      <c r="G18" s="65" t="s">
        <v>127</v>
      </c>
      <c r="H18" s="10">
        <v>2000</v>
      </c>
    </row>
    <row r="19" spans="1:10" ht="15">
      <c r="A19" s="471">
        <v>6</v>
      </c>
      <c r="B19" s="472" t="s">
        <v>33</v>
      </c>
      <c r="C19" s="472" t="s">
        <v>33</v>
      </c>
      <c r="D19" s="471">
        <v>1</v>
      </c>
      <c r="E19" s="471">
        <v>120</v>
      </c>
      <c r="F19" s="64">
        <v>54104</v>
      </c>
      <c r="G19" s="225" t="s">
        <v>604</v>
      </c>
      <c r="H19" s="10">
        <v>500</v>
      </c>
    </row>
    <row r="20" spans="1:10" ht="15">
      <c r="A20" s="471">
        <v>6</v>
      </c>
      <c r="B20" s="472" t="s">
        <v>33</v>
      </c>
      <c r="C20" s="472" t="s">
        <v>33</v>
      </c>
      <c r="D20" s="471">
        <v>1</v>
      </c>
      <c r="E20" s="471">
        <v>120</v>
      </c>
      <c r="F20" s="64">
        <v>54105</v>
      </c>
      <c r="G20" s="65" t="s">
        <v>130</v>
      </c>
      <c r="H20" s="10">
        <v>2500</v>
      </c>
      <c r="J20" s="642"/>
    </row>
    <row r="21" spans="1:10" ht="15">
      <c r="A21" s="471">
        <v>6</v>
      </c>
      <c r="B21" s="472" t="s">
        <v>33</v>
      </c>
      <c r="C21" s="472" t="s">
        <v>33</v>
      </c>
      <c r="D21" s="471">
        <v>1</v>
      </c>
      <c r="E21" s="471">
        <v>120</v>
      </c>
      <c r="F21" s="64">
        <v>54107</v>
      </c>
      <c r="G21" s="65" t="s">
        <v>131</v>
      </c>
      <c r="H21" s="10">
        <v>2250</v>
      </c>
      <c r="J21" s="1041">
        <v>51202</v>
      </c>
    </row>
    <row r="22" spans="1:10" ht="15">
      <c r="A22" s="471">
        <v>6</v>
      </c>
      <c r="B22" s="472" t="s">
        <v>33</v>
      </c>
      <c r="C22" s="472" t="s">
        <v>33</v>
      </c>
      <c r="D22" s="471">
        <v>1</v>
      </c>
      <c r="E22" s="471">
        <v>120</v>
      </c>
      <c r="F22" s="64">
        <v>54109</v>
      </c>
      <c r="G22" s="65" t="s">
        <v>133</v>
      </c>
      <c r="H22" s="10">
        <v>6000</v>
      </c>
      <c r="J22" s="1041">
        <v>54101</v>
      </c>
    </row>
    <row r="23" spans="1:10" ht="15">
      <c r="A23" s="471">
        <v>6</v>
      </c>
      <c r="B23" s="472" t="s">
        <v>33</v>
      </c>
      <c r="C23" s="472" t="s">
        <v>33</v>
      </c>
      <c r="D23" s="471">
        <v>1</v>
      </c>
      <c r="E23" s="471">
        <v>120</v>
      </c>
      <c r="F23" s="64">
        <v>54110</v>
      </c>
      <c r="G23" s="65" t="s">
        <v>424</v>
      </c>
      <c r="H23" s="10">
        <v>20000</v>
      </c>
      <c r="J23" s="1041">
        <v>54105</v>
      </c>
    </row>
    <row r="24" spans="1:10" ht="15">
      <c r="A24" s="471">
        <v>6</v>
      </c>
      <c r="B24" s="472" t="s">
        <v>33</v>
      </c>
      <c r="C24" s="472" t="s">
        <v>33</v>
      </c>
      <c r="D24" s="471">
        <v>1</v>
      </c>
      <c r="E24" s="471">
        <v>120</v>
      </c>
      <c r="F24" s="64">
        <v>54111</v>
      </c>
      <c r="G24" s="225" t="s">
        <v>1048</v>
      </c>
      <c r="H24" s="10">
        <v>1310</v>
      </c>
      <c r="J24" s="1041">
        <v>54106</v>
      </c>
    </row>
    <row r="25" spans="1:10" ht="15">
      <c r="A25" s="471">
        <v>6</v>
      </c>
      <c r="B25" s="472" t="s">
        <v>33</v>
      </c>
      <c r="C25" s="472" t="s">
        <v>33</v>
      </c>
      <c r="D25" s="471">
        <v>1</v>
      </c>
      <c r="E25" s="471">
        <v>120</v>
      </c>
      <c r="F25" s="64">
        <v>54112</v>
      </c>
      <c r="G25" s="225" t="s">
        <v>1049</v>
      </c>
      <c r="H25" s="10">
        <v>1350</v>
      </c>
      <c r="J25" s="1041">
        <v>54107</v>
      </c>
    </row>
    <row r="26" spans="1:10" ht="15">
      <c r="A26" s="471">
        <v>6</v>
      </c>
      <c r="B26" s="472" t="s">
        <v>33</v>
      </c>
      <c r="C26" s="472" t="s">
        <v>33</v>
      </c>
      <c r="D26" s="471">
        <v>1</v>
      </c>
      <c r="E26" s="471">
        <v>120</v>
      </c>
      <c r="F26" s="64">
        <v>54114</v>
      </c>
      <c r="G26" s="225" t="s">
        <v>137</v>
      </c>
      <c r="H26" s="10">
        <v>1000</v>
      </c>
      <c r="J26" s="1041">
        <v>54106</v>
      </c>
    </row>
    <row r="27" spans="1:10" ht="15">
      <c r="A27" s="471">
        <v>6</v>
      </c>
      <c r="B27" s="472" t="s">
        <v>33</v>
      </c>
      <c r="C27" s="472" t="s">
        <v>33</v>
      </c>
      <c r="D27" s="471">
        <v>1</v>
      </c>
      <c r="E27" s="471">
        <v>120</v>
      </c>
      <c r="F27" s="64">
        <v>54115</v>
      </c>
      <c r="G27" s="65" t="s">
        <v>138</v>
      </c>
      <c r="H27" s="10">
        <v>1100</v>
      </c>
      <c r="J27" s="1041">
        <v>54107</v>
      </c>
    </row>
    <row r="28" spans="1:10" ht="15">
      <c r="A28" s="471">
        <v>6</v>
      </c>
      <c r="B28" s="472" t="s">
        <v>33</v>
      </c>
      <c r="C28" s="472" t="s">
        <v>33</v>
      </c>
      <c r="D28" s="471">
        <v>1</v>
      </c>
      <c r="E28" s="471">
        <v>120</v>
      </c>
      <c r="F28" s="64">
        <v>54118</v>
      </c>
      <c r="G28" s="225" t="s">
        <v>724</v>
      </c>
      <c r="H28" s="10">
        <v>300</v>
      </c>
      <c r="J28" s="1041">
        <v>54109</v>
      </c>
    </row>
    <row r="29" spans="1:10" ht="15">
      <c r="A29" s="471">
        <v>6</v>
      </c>
      <c r="B29" s="472" t="s">
        <v>33</v>
      </c>
      <c r="C29" s="472" t="s">
        <v>33</v>
      </c>
      <c r="D29" s="471">
        <v>1</v>
      </c>
      <c r="E29" s="471">
        <v>120</v>
      </c>
      <c r="F29" s="64">
        <v>54119</v>
      </c>
      <c r="G29" s="65" t="s">
        <v>141</v>
      </c>
      <c r="H29" s="10">
        <v>1000</v>
      </c>
      <c r="J29" s="1041">
        <v>54110</v>
      </c>
    </row>
    <row r="30" spans="1:10" ht="15">
      <c r="A30" s="471">
        <v>6</v>
      </c>
      <c r="B30" s="472" t="s">
        <v>33</v>
      </c>
      <c r="C30" s="472" t="s">
        <v>33</v>
      </c>
      <c r="D30" s="471">
        <v>1</v>
      </c>
      <c r="E30" s="471">
        <v>120</v>
      </c>
      <c r="F30" s="64">
        <v>54121</v>
      </c>
      <c r="G30" s="225" t="s">
        <v>142</v>
      </c>
      <c r="H30" s="10">
        <v>2000</v>
      </c>
      <c r="J30" s="1041">
        <v>54111</v>
      </c>
    </row>
    <row r="31" spans="1:10" ht="14.25" customHeight="1">
      <c r="A31" s="471">
        <v>6</v>
      </c>
      <c r="B31" s="472" t="s">
        <v>33</v>
      </c>
      <c r="C31" s="472" t="s">
        <v>33</v>
      </c>
      <c r="D31" s="471">
        <v>1</v>
      </c>
      <c r="E31" s="471">
        <v>120</v>
      </c>
      <c r="F31" s="64">
        <v>54199</v>
      </c>
      <c r="G31" s="65" t="s">
        <v>143</v>
      </c>
      <c r="H31" s="10">
        <v>7500</v>
      </c>
      <c r="J31" s="1041">
        <v>54112</v>
      </c>
    </row>
    <row r="32" spans="1:10" ht="15">
      <c r="A32" s="471">
        <v>6</v>
      </c>
      <c r="B32" s="472" t="s">
        <v>33</v>
      </c>
      <c r="C32" s="472" t="s">
        <v>33</v>
      </c>
      <c r="D32" s="471">
        <v>1</v>
      </c>
      <c r="E32" s="471">
        <v>120</v>
      </c>
      <c r="F32" s="64">
        <v>54201</v>
      </c>
      <c r="G32" s="65" t="s">
        <v>144</v>
      </c>
      <c r="H32" s="10">
        <v>5000</v>
      </c>
    </row>
    <row r="33" spans="1:11" ht="15">
      <c r="A33" s="471">
        <v>6</v>
      </c>
      <c r="B33" s="472" t="s">
        <v>33</v>
      </c>
      <c r="C33" s="472" t="s">
        <v>33</v>
      </c>
      <c r="D33" s="471">
        <v>1</v>
      </c>
      <c r="E33" s="471">
        <v>120</v>
      </c>
      <c r="F33" s="64">
        <v>54202</v>
      </c>
      <c r="G33" s="65" t="s">
        <v>145</v>
      </c>
      <c r="H33" s="10">
        <v>2000</v>
      </c>
    </row>
    <row r="34" spans="1:11" ht="15">
      <c r="A34" s="471">
        <v>6</v>
      </c>
      <c r="B34" s="472" t="s">
        <v>33</v>
      </c>
      <c r="C34" s="472" t="s">
        <v>33</v>
      </c>
      <c r="D34" s="471">
        <v>1</v>
      </c>
      <c r="E34" s="471">
        <v>120</v>
      </c>
      <c r="F34" s="64">
        <v>54203</v>
      </c>
      <c r="G34" s="65" t="s">
        <v>146</v>
      </c>
      <c r="H34" s="10">
        <v>7000</v>
      </c>
    </row>
    <row r="35" spans="1:11" ht="15">
      <c r="A35" s="471">
        <v>6</v>
      </c>
      <c r="B35" s="472" t="s">
        <v>33</v>
      </c>
      <c r="C35" s="472" t="s">
        <v>33</v>
      </c>
      <c r="D35" s="471">
        <v>1</v>
      </c>
      <c r="E35" s="471">
        <v>120</v>
      </c>
      <c r="F35" s="64">
        <v>54301</v>
      </c>
      <c r="G35" s="65" t="s">
        <v>149</v>
      </c>
      <c r="H35" s="10">
        <v>3500</v>
      </c>
      <c r="J35" s="1041">
        <v>54114</v>
      </c>
    </row>
    <row r="36" spans="1:11" ht="15">
      <c r="A36" s="471">
        <v>6</v>
      </c>
      <c r="B36" s="472" t="s">
        <v>33</v>
      </c>
      <c r="C36" s="472" t="s">
        <v>33</v>
      </c>
      <c r="D36" s="471">
        <v>1</v>
      </c>
      <c r="E36" s="471">
        <v>120</v>
      </c>
      <c r="F36" s="64">
        <v>54302</v>
      </c>
      <c r="G36" s="65" t="s">
        <v>150</v>
      </c>
      <c r="H36" s="10">
        <v>12000</v>
      </c>
      <c r="J36" s="1041">
        <v>54115</v>
      </c>
    </row>
    <row r="37" spans="1:11" ht="15">
      <c r="A37" s="471">
        <v>6</v>
      </c>
      <c r="B37" s="472" t="s">
        <v>33</v>
      </c>
      <c r="C37" s="472" t="s">
        <v>33</v>
      </c>
      <c r="D37" s="471">
        <v>1</v>
      </c>
      <c r="E37" s="471">
        <v>120</v>
      </c>
      <c r="F37" s="64">
        <v>54303</v>
      </c>
      <c r="G37" s="65" t="s">
        <v>378</v>
      </c>
      <c r="H37" s="10">
        <v>1000</v>
      </c>
      <c r="J37" s="5">
        <v>54118</v>
      </c>
    </row>
    <row r="38" spans="1:11" ht="15">
      <c r="A38" s="471">
        <v>6</v>
      </c>
      <c r="B38" s="472" t="s">
        <v>33</v>
      </c>
      <c r="C38" s="472" t="s">
        <v>33</v>
      </c>
      <c r="D38" s="471">
        <v>1</v>
      </c>
      <c r="E38" s="471">
        <v>120</v>
      </c>
      <c r="F38" s="64">
        <v>54304</v>
      </c>
      <c r="G38" s="65" t="s">
        <v>152</v>
      </c>
      <c r="H38" s="10">
        <v>2000</v>
      </c>
      <c r="J38" s="5">
        <v>54119</v>
      </c>
    </row>
    <row r="39" spans="1:11" ht="15">
      <c r="A39" s="471">
        <v>6</v>
      </c>
      <c r="B39" s="472" t="s">
        <v>33</v>
      </c>
      <c r="C39" s="472" t="s">
        <v>33</v>
      </c>
      <c r="D39" s="471">
        <v>1</v>
      </c>
      <c r="E39" s="471">
        <v>120</v>
      </c>
      <c r="F39" s="64">
        <v>54305</v>
      </c>
      <c r="G39" s="65" t="s">
        <v>153</v>
      </c>
      <c r="H39" s="10">
        <v>100</v>
      </c>
      <c r="J39" s="5">
        <v>54199</v>
      </c>
    </row>
    <row r="40" spans="1:11" ht="15">
      <c r="A40" s="471">
        <v>6</v>
      </c>
      <c r="B40" s="472" t="s">
        <v>33</v>
      </c>
      <c r="C40" s="472" t="s">
        <v>33</v>
      </c>
      <c r="D40" s="471">
        <v>1</v>
      </c>
      <c r="E40" s="471">
        <v>120</v>
      </c>
      <c r="F40" s="64">
        <v>54313</v>
      </c>
      <c r="G40" s="65" t="s">
        <v>154</v>
      </c>
      <c r="H40" s="10">
        <v>2500</v>
      </c>
      <c r="J40" s="5">
        <v>54201</v>
      </c>
    </row>
    <row r="41" spans="1:11" ht="15">
      <c r="A41" s="471">
        <v>6</v>
      </c>
      <c r="B41" s="472" t="s">
        <v>33</v>
      </c>
      <c r="C41" s="472" t="s">
        <v>33</v>
      </c>
      <c r="D41" s="471">
        <v>1</v>
      </c>
      <c r="E41" s="471">
        <v>120</v>
      </c>
      <c r="F41" s="64">
        <v>54314</v>
      </c>
      <c r="G41" s="65" t="s">
        <v>155</v>
      </c>
      <c r="H41" s="10">
        <v>350</v>
      </c>
      <c r="J41" s="5">
        <v>54202</v>
      </c>
    </row>
    <row r="42" spans="1:11" ht="15" hidden="1">
      <c r="A42" s="471">
        <v>6</v>
      </c>
      <c r="B42" s="472" t="s">
        <v>33</v>
      </c>
      <c r="C42" s="472" t="s">
        <v>33</v>
      </c>
      <c r="D42" s="471">
        <v>1</v>
      </c>
      <c r="E42" s="471">
        <v>120</v>
      </c>
      <c r="F42" s="64">
        <v>54401</v>
      </c>
      <c r="G42" s="65" t="s">
        <v>94</v>
      </c>
      <c r="H42" s="10"/>
      <c r="J42" s="5">
        <v>54203</v>
      </c>
    </row>
    <row r="43" spans="1:11" ht="15">
      <c r="A43" s="471">
        <v>6</v>
      </c>
      <c r="B43" s="472" t="s">
        <v>33</v>
      </c>
      <c r="C43" s="472" t="s">
        <v>33</v>
      </c>
      <c r="D43" s="471">
        <v>1</v>
      </c>
      <c r="E43" s="471">
        <v>120</v>
      </c>
      <c r="F43" s="64">
        <v>54403</v>
      </c>
      <c r="G43" s="65" t="s">
        <v>95</v>
      </c>
      <c r="H43" s="10">
        <v>1350</v>
      </c>
      <c r="J43" s="5">
        <v>54301</v>
      </c>
    </row>
    <row r="44" spans="1:11" ht="15" hidden="1">
      <c r="A44" s="471">
        <v>6</v>
      </c>
      <c r="B44" s="472" t="s">
        <v>33</v>
      </c>
      <c r="C44" s="472" t="s">
        <v>33</v>
      </c>
      <c r="D44" s="471">
        <v>1</v>
      </c>
      <c r="E44" s="471">
        <v>120</v>
      </c>
      <c r="F44" s="64">
        <v>54503</v>
      </c>
      <c r="G44" s="65" t="s">
        <v>96</v>
      </c>
      <c r="H44" s="10"/>
      <c r="J44" s="5">
        <v>54302</v>
      </c>
    </row>
    <row r="45" spans="1:11" ht="15">
      <c r="A45" s="471">
        <v>6</v>
      </c>
      <c r="B45" s="472" t="s">
        <v>33</v>
      </c>
      <c r="C45" s="472" t="s">
        <v>33</v>
      </c>
      <c r="D45" s="471">
        <v>1</v>
      </c>
      <c r="E45" s="471">
        <v>120</v>
      </c>
      <c r="F45" s="64">
        <v>54504</v>
      </c>
      <c r="G45" s="65" t="s">
        <v>168</v>
      </c>
      <c r="H45" s="10">
        <v>300</v>
      </c>
      <c r="J45" s="5">
        <v>54303</v>
      </c>
      <c r="K45" s="5">
        <v>56304</v>
      </c>
    </row>
    <row r="46" spans="1:11" ht="15" hidden="1">
      <c r="A46" s="471">
        <v>6</v>
      </c>
      <c r="B46" s="472" t="s">
        <v>33</v>
      </c>
      <c r="C46" s="472" t="s">
        <v>33</v>
      </c>
      <c r="D46" s="471">
        <v>1</v>
      </c>
      <c r="E46" s="471">
        <v>120</v>
      </c>
      <c r="F46" s="64">
        <v>54505</v>
      </c>
      <c r="G46" s="65" t="s">
        <v>416</v>
      </c>
      <c r="H46" s="10"/>
      <c r="J46" s="5">
        <v>54304</v>
      </c>
      <c r="K46" s="5">
        <v>61104</v>
      </c>
    </row>
    <row r="47" spans="1:11" ht="15">
      <c r="A47" s="471">
        <v>6</v>
      </c>
      <c r="B47" s="472" t="s">
        <v>33</v>
      </c>
      <c r="C47" s="472" t="s">
        <v>33</v>
      </c>
      <c r="D47" s="471">
        <v>1</v>
      </c>
      <c r="E47" s="471">
        <v>120</v>
      </c>
      <c r="F47" s="64">
        <v>54507</v>
      </c>
      <c r="G47" s="65" t="s">
        <v>454</v>
      </c>
      <c r="H47" s="10">
        <v>500</v>
      </c>
      <c r="J47" s="5">
        <v>54313</v>
      </c>
      <c r="K47" s="5">
        <v>61199</v>
      </c>
    </row>
    <row r="48" spans="1:11" ht="15">
      <c r="A48" s="471">
        <v>6</v>
      </c>
      <c r="B48" s="472" t="s">
        <v>33</v>
      </c>
      <c r="C48" s="472" t="s">
        <v>33</v>
      </c>
      <c r="D48" s="471">
        <v>1</v>
      </c>
      <c r="E48" s="471">
        <v>120</v>
      </c>
      <c r="F48" s="64">
        <v>55599</v>
      </c>
      <c r="G48" s="225" t="s">
        <v>605</v>
      </c>
      <c r="H48" s="10">
        <v>200</v>
      </c>
      <c r="J48" s="5">
        <v>54403</v>
      </c>
    </row>
    <row r="49" spans="1:10" ht="15">
      <c r="A49" s="471">
        <v>6</v>
      </c>
      <c r="B49" s="472" t="s">
        <v>33</v>
      </c>
      <c r="C49" s="472" t="s">
        <v>33</v>
      </c>
      <c r="D49" s="471">
        <v>1</v>
      </c>
      <c r="E49" s="471">
        <v>120</v>
      </c>
      <c r="F49" s="64">
        <v>55603</v>
      </c>
      <c r="G49" s="65" t="s">
        <v>104</v>
      </c>
      <c r="H49" s="10">
        <v>450</v>
      </c>
      <c r="J49" s="5">
        <v>55603</v>
      </c>
    </row>
    <row r="50" spans="1:10" ht="15" hidden="1">
      <c r="A50" s="471">
        <v>6</v>
      </c>
      <c r="B50" s="472" t="s">
        <v>33</v>
      </c>
      <c r="C50" s="472" t="s">
        <v>33</v>
      </c>
      <c r="D50" s="471">
        <v>1</v>
      </c>
      <c r="E50" s="471">
        <v>120</v>
      </c>
      <c r="F50" s="64">
        <v>56201</v>
      </c>
      <c r="G50" s="65" t="s">
        <v>379</v>
      </c>
      <c r="H50" s="10"/>
    </row>
    <row r="51" spans="1:10" ht="15">
      <c r="A51" s="471">
        <v>6</v>
      </c>
      <c r="B51" s="472" t="s">
        <v>33</v>
      </c>
      <c r="C51" s="472" t="s">
        <v>33</v>
      </c>
      <c r="D51" s="471">
        <v>1</v>
      </c>
      <c r="E51" s="471">
        <v>120</v>
      </c>
      <c r="F51" s="64">
        <v>56304</v>
      </c>
      <c r="G51" s="65" t="s">
        <v>109</v>
      </c>
      <c r="H51" s="10">
        <v>900</v>
      </c>
    </row>
    <row r="52" spans="1:10" ht="15">
      <c r="A52" s="471">
        <v>6</v>
      </c>
      <c r="B52" s="472" t="s">
        <v>33</v>
      </c>
      <c r="C52" s="472" t="s">
        <v>33</v>
      </c>
      <c r="D52" s="471">
        <v>1</v>
      </c>
      <c r="E52" s="471">
        <v>120</v>
      </c>
      <c r="F52" s="64">
        <v>61101</v>
      </c>
      <c r="G52" s="65" t="s">
        <v>161</v>
      </c>
      <c r="H52" s="10">
        <v>1000</v>
      </c>
    </row>
    <row r="53" spans="1:10" ht="15">
      <c r="A53" s="471">
        <v>6</v>
      </c>
      <c r="B53" s="472" t="s">
        <v>33</v>
      </c>
      <c r="C53" s="472" t="s">
        <v>33</v>
      </c>
      <c r="D53" s="471">
        <v>1</v>
      </c>
      <c r="E53" s="471">
        <v>120</v>
      </c>
      <c r="F53" s="64">
        <v>61102</v>
      </c>
      <c r="G53" s="65" t="s">
        <v>162</v>
      </c>
      <c r="H53" s="10">
        <v>500</v>
      </c>
    </row>
    <row r="54" spans="1:10" ht="15" hidden="1">
      <c r="A54" s="471">
        <v>6</v>
      </c>
      <c r="B54" s="472" t="s">
        <v>33</v>
      </c>
      <c r="C54" s="472" t="s">
        <v>33</v>
      </c>
      <c r="D54" s="471">
        <v>1</v>
      </c>
      <c r="E54" s="471">
        <v>120</v>
      </c>
      <c r="F54" s="64">
        <v>61104</v>
      </c>
      <c r="G54" s="65" t="s">
        <v>112</v>
      </c>
      <c r="H54" s="10"/>
    </row>
    <row r="55" spans="1:10" ht="15">
      <c r="A55" s="471">
        <v>6</v>
      </c>
      <c r="B55" s="472" t="s">
        <v>33</v>
      </c>
      <c r="C55" s="472" t="s">
        <v>33</v>
      </c>
      <c r="D55" s="471">
        <v>1</v>
      </c>
      <c r="E55" s="471">
        <v>120</v>
      </c>
      <c r="F55" s="64">
        <v>61199</v>
      </c>
      <c r="G55" s="65" t="s">
        <v>114</v>
      </c>
      <c r="H55" s="10">
        <v>500</v>
      </c>
    </row>
    <row r="56" spans="1:10" ht="15.75" thickBot="1">
      <c r="A56" s="1522" t="s">
        <v>912</v>
      </c>
      <c r="B56" s="1522"/>
      <c r="C56" s="1522"/>
      <c r="D56" s="1522"/>
      <c r="E56" s="1522"/>
      <c r="F56" s="1522"/>
      <c r="G56" s="1523"/>
      <c r="H56" s="480">
        <f>SUM(H18:H55)</f>
        <v>89960</v>
      </c>
    </row>
    <row r="57" spans="1:10" ht="16.5" thickTop="1" thickBot="1">
      <c r="A57" s="1522" t="s">
        <v>167</v>
      </c>
      <c r="B57" s="1522"/>
      <c r="C57" s="1522"/>
      <c r="D57" s="1522"/>
      <c r="E57" s="1522"/>
      <c r="F57" s="1522"/>
      <c r="G57" s="1523"/>
      <c r="H57" s="1282">
        <f>H17+H56</f>
        <v>420498.0625</v>
      </c>
      <c r="I57" s="201"/>
    </row>
    <row r="58" spans="1:10" ht="15" thickTop="1">
      <c r="G58" s="69"/>
      <c r="H58" s="70"/>
    </row>
    <row r="59" spans="1:10">
      <c r="C59" s="203"/>
      <c r="G59" s="8"/>
      <c r="H59" s="71"/>
    </row>
  </sheetData>
  <mergeCells count="13">
    <mergeCell ref="A57:G57"/>
    <mergeCell ref="A56:G56"/>
    <mergeCell ref="A1:H1"/>
    <mergeCell ref="A2:H2"/>
    <mergeCell ref="A3:H3"/>
    <mergeCell ref="A4:H4"/>
    <mergeCell ref="A5:H5"/>
    <mergeCell ref="A7:H8"/>
    <mergeCell ref="A9:H9"/>
    <mergeCell ref="A10:F10"/>
    <mergeCell ref="G10:G11"/>
    <mergeCell ref="H10:H11"/>
    <mergeCell ref="A17:G17"/>
  </mergeCells>
  <phoneticPr fontId="118" type="noConversion"/>
  <pageMargins left="1.1023622047244095" right="0.11811023622047245" top="0.43307086614173229" bottom="0.70866141732283472" header="0.31496062992125984" footer="0.31496062992125984"/>
  <pageSetup paperSize="9" scale="9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7</vt:i4>
      </vt:variant>
    </vt:vector>
  </HeadingPairs>
  <TitlesOfParts>
    <vt:vector size="35" baseType="lpstr">
      <vt:lpstr>Hoja2</vt:lpstr>
      <vt:lpstr>DECRETO DEL PRESUPUESTO</vt:lpstr>
      <vt:lpstr>RESUMEN DE INGRESOS </vt:lpstr>
      <vt:lpstr>INGRESOS</vt:lpstr>
      <vt:lpstr>CONCENTRACION DE EGRESOS 2023</vt:lpstr>
      <vt:lpstr>CONCENTRACION DE EGRESOS</vt:lpstr>
      <vt:lpstr>PAG, FOND, PROP</vt:lpstr>
      <vt:lpstr>FONDOS PROPIOS</vt:lpstr>
      <vt:lpstr>120 libre Administ.</vt:lpstr>
      <vt:lpstr>120- Libre disp, social</vt:lpstr>
      <vt:lpstr>INVER.FODES 75% AG 4</vt:lpstr>
      <vt:lpstr>AG 4 0402  2% FODES</vt:lpstr>
      <vt:lpstr>Pres.Servicio Deuda Publica</vt:lpstr>
      <vt:lpstr>FOND GENE.109</vt:lpstr>
      <vt:lpstr>216 FONDO DE APOYO MUNICIPAL</vt:lpstr>
      <vt:lpstr>Saldos de ctas. Bancarias</vt:lpstr>
      <vt:lpstr>Media Simple 5 años ingresos</vt:lpstr>
      <vt:lpstr> Metodo de regresion Lineal</vt:lpstr>
      <vt:lpstr>Proy. de recur.Humanos</vt:lpstr>
      <vt:lpstr>Concen. de  Recursos Huma</vt:lpstr>
      <vt:lpstr>Proy. FODES 120 </vt:lpstr>
      <vt:lpstr>Hoja1</vt:lpstr>
      <vt:lpstr>DETALLES PROY. 120</vt:lpstr>
      <vt:lpstr>PROY. 216</vt:lpstr>
      <vt:lpstr>DETALLE PROY. 216</vt:lpstr>
      <vt:lpstr>PROY. FONDOS PROPIOS</vt:lpstr>
      <vt:lpstr>DETALLE PROY. FONDOS PROPIOS</vt:lpstr>
      <vt:lpstr>Hoja3</vt:lpstr>
      <vt:lpstr>'CONCENTRACION DE EGRESOS'!Área_de_impresión</vt:lpstr>
      <vt:lpstr>'DECRETO DEL PRESUPUESTO'!Área_de_impresión</vt:lpstr>
      <vt:lpstr>'DETALLES PROY. 120'!Área_de_impresión</vt:lpstr>
      <vt:lpstr>INGRESOS!Área_de_impresión</vt:lpstr>
      <vt:lpstr>'Proy. de recur.Humanos'!Área_de_impresión</vt:lpstr>
      <vt:lpstr>'Proy. FODES 120 '!Área_de_impresión</vt:lpstr>
      <vt:lpstr>'Saldos de ctas. Bancarias'!Área_de_impresión</vt:lpstr>
    </vt:vector>
  </TitlesOfParts>
  <Company>SUBDERE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Estructura de Presupuesto Municipal</dc:title>
  <dc:creator>Gastón Collao</dc:creator>
  <cp:lastModifiedBy>A. M. CHILTIUPAN</cp:lastModifiedBy>
  <cp:lastPrinted>2023-02-20T20:19:43Z</cp:lastPrinted>
  <dcterms:created xsi:type="dcterms:W3CDTF">2007-07-18T15:13:44Z</dcterms:created>
  <dcterms:modified xsi:type="dcterms:W3CDTF">2023-04-19T17:33:38Z</dcterms:modified>
</cp:coreProperties>
</file>